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ropbox\"/>
    </mc:Choice>
  </mc:AlternateContent>
  <bookViews>
    <workbookView xWindow="0" yWindow="0" windowWidth="23040" windowHeight="9192"/>
  </bookViews>
  <sheets>
    <sheet name="Koeficientai" sheetId="2" r:id="rId1"/>
    <sheet name="Taškų lentelė" sheetId="1" r:id="rId2"/>
    <sheet name="Suaugusieji" sheetId="3" r:id="rId3"/>
    <sheet name="Poniai" sheetId="7" r:id="rId4"/>
    <sheet name="Vaikai" sheetId="8" r:id="rId5"/>
    <sheet name="Jauniai" sheetId="5" r:id="rId6"/>
    <sheet name="Jaunimas" sheetId="4" r:id="rId7"/>
    <sheet name="Mėgėjai I gr." sheetId="11" r:id="rId8"/>
    <sheet name="Mėgėjai II gr." sheetId="12" r:id="rId9"/>
    <sheet name="Mėgėjai III gr." sheetId="13" r:id="rId10"/>
    <sheet name="Suaugusieji (Skaiciavimas)" sheetId="15" r:id="rId11"/>
  </sheets>
  <definedNames>
    <definedName name="_xlnm._FilterDatabase" localSheetId="2" hidden="1">Suaugusieji!$B$4:$B$40</definedName>
    <definedName name="_xlnm._FilterDatabase" localSheetId="10" hidden="1">'Suaugusieji (Skaiciavimas)'!$A$118:$C$127</definedName>
    <definedName name="not_placed" localSheetId="10">'Suaugusieji (Skaiciavimas)'!$A$244</definedName>
    <definedName name="_xlnm.Print_Area" localSheetId="3">Poniai!$A$1:$H$25</definedName>
    <definedName name="start_9419802" localSheetId="1">'Taškų lentelė'!$D$20</definedName>
    <definedName name="start_9435935" localSheetId="10">'Suaugusieji (Skaiciavimas)'!#REF!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O472" i="15" l="1"/>
  <c r="AO473" i="15"/>
  <c r="AO474" i="15"/>
  <c r="AO475" i="15"/>
  <c r="AO476" i="15"/>
  <c r="AO477" i="15"/>
  <c r="AO471" i="15"/>
  <c r="AM471" i="15"/>
  <c r="AI473" i="15"/>
  <c r="AI472" i="15"/>
  <c r="AE472" i="15"/>
  <c r="AE471" i="15"/>
  <c r="AA474" i="15"/>
  <c r="AA473" i="15"/>
  <c r="W475" i="15"/>
  <c r="S472" i="15"/>
  <c r="O476" i="15"/>
  <c r="K473" i="15"/>
  <c r="G475" i="15"/>
  <c r="C477" i="15"/>
  <c r="C474" i="15"/>
  <c r="AC455" i="15"/>
  <c r="AA455" i="15"/>
  <c r="AA450" i="15"/>
  <c r="AA452" i="15"/>
  <c r="BI30" i="3" l="1"/>
  <c r="M460" i="15"/>
  <c r="M461" i="15"/>
  <c r="M462" i="15"/>
  <c r="M463" i="15"/>
  <c r="M464" i="15"/>
  <c r="M465" i="15"/>
  <c r="M466" i="15"/>
  <c r="M467" i="15"/>
  <c r="M459" i="15"/>
  <c r="K467" i="15"/>
  <c r="K466" i="15"/>
  <c r="K465" i="15"/>
  <c r="K463" i="15"/>
  <c r="K462" i="15"/>
  <c r="G464" i="15"/>
  <c r="G463" i="15"/>
  <c r="G462" i="15"/>
  <c r="G461" i="15"/>
  <c r="G459" i="15"/>
  <c r="C464" i="15"/>
  <c r="C463" i="15"/>
  <c r="C462" i="15"/>
  <c r="C461" i="15"/>
  <c r="C460" i="15"/>
  <c r="C459" i="15"/>
  <c r="W454" i="15" l="1"/>
  <c r="AC454" i="15" s="1"/>
  <c r="W450" i="15"/>
  <c r="S451" i="15"/>
  <c r="S450" i="15"/>
  <c r="O452" i="15"/>
  <c r="O451" i="15"/>
  <c r="O450" i="15"/>
  <c r="K452" i="15"/>
  <c r="K450" i="15"/>
  <c r="BI4" i="3"/>
  <c r="G450" i="15"/>
  <c r="C453" i="15"/>
  <c r="AC453" i="15" s="1"/>
  <c r="C450" i="15"/>
  <c r="AC451" i="15" l="1"/>
  <c r="AC450" i="15"/>
  <c r="AC452" i="15"/>
  <c r="BI40" i="3"/>
  <c r="C40" i="3" s="1"/>
  <c r="AM444" i="15"/>
  <c r="AM443" i="15"/>
  <c r="AI443" i="15"/>
  <c r="AE444" i="15"/>
  <c r="AA444" i="15"/>
  <c r="AA443" i="15"/>
  <c r="W443" i="15"/>
  <c r="S446" i="15"/>
  <c r="AO446" i="15" s="1"/>
  <c r="S447" i="15"/>
  <c r="AO447" i="15" s="1"/>
  <c r="S444" i="15"/>
  <c r="C30" i="3"/>
  <c r="G437" i="15"/>
  <c r="G436" i="15"/>
  <c r="G435" i="15"/>
  <c r="M435" i="15" s="1"/>
  <c r="G434" i="15"/>
  <c r="G433" i="15"/>
  <c r="G431" i="15"/>
  <c r="K439" i="15"/>
  <c r="M439" i="15" s="1"/>
  <c r="K436" i="15"/>
  <c r="K438" i="15"/>
  <c r="M438" i="15" s="1"/>
  <c r="K434" i="15"/>
  <c r="K433" i="15"/>
  <c r="K432" i="15"/>
  <c r="G443" i="15"/>
  <c r="K443" i="15"/>
  <c r="G444" i="15"/>
  <c r="K445" i="15"/>
  <c r="AO445" i="15" s="1"/>
  <c r="O443" i="15" l="1"/>
  <c r="O444" i="15"/>
  <c r="C443" i="15"/>
  <c r="AO443" i="15" s="1"/>
  <c r="C444" i="15"/>
  <c r="AO444" i="15" s="1"/>
  <c r="C437" i="15"/>
  <c r="M437" i="15" s="1"/>
  <c r="C436" i="15"/>
  <c r="M436" i="15" s="1"/>
  <c r="C434" i="15"/>
  <c r="M434" i="15" s="1"/>
  <c r="C433" i="15"/>
  <c r="M433" i="15" s="1"/>
  <c r="C432" i="15"/>
  <c r="M432" i="15" s="1"/>
  <c r="C431" i="15"/>
  <c r="M431" i="15" s="1"/>
  <c r="E10" i="11" l="1"/>
  <c r="E21" i="11"/>
  <c r="E5" i="11"/>
  <c r="E30" i="11"/>
  <c r="E19" i="11"/>
  <c r="E24" i="11"/>
  <c r="E31" i="11"/>
  <c r="E8" i="11"/>
  <c r="E17" i="11"/>
  <c r="E23" i="11"/>
  <c r="E4" i="11"/>
  <c r="E15" i="11"/>
  <c r="E25" i="11"/>
  <c r="E14" i="11"/>
  <c r="E11" i="11"/>
  <c r="E9" i="11"/>
  <c r="E20" i="11"/>
  <c r="E28" i="11"/>
  <c r="E18" i="11"/>
  <c r="E26" i="11"/>
  <c r="E29" i="11"/>
  <c r="E7" i="11"/>
  <c r="E27" i="11"/>
  <c r="E6" i="11"/>
  <c r="E12" i="11"/>
  <c r="E22" i="11"/>
  <c r="E13" i="11"/>
  <c r="E16" i="11"/>
  <c r="BI21" i="3" l="1"/>
  <c r="BI26" i="3"/>
  <c r="BI41" i="3"/>
  <c r="BI20" i="3"/>
  <c r="BI11" i="3"/>
  <c r="BI15" i="3"/>
  <c r="BI25" i="3"/>
  <c r="BI12" i="3"/>
  <c r="BI29" i="3"/>
  <c r="BI42" i="3"/>
  <c r="BI39" i="3"/>
  <c r="BI38" i="3"/>
  <c r="BI36" i="3"/>
  <c r="BI19" i="3"/>
  <c r="BI7" i="3"/>
  <c r="BI18" i="3"/>
  <c r="BI13" i="3"/>
  <c r="BI9" i="3"/>
  <c r="BI6" i="3"/>
  <c r="BI34" i="3"/>
  <c r="BI10" i="3"/>
  <c r="BI23" i="3"/>
  <c r="BI5" i="3"/>
  <c r="BI14" i="3"/>
  <c r="BI8" i="3"/>
  <c r="BI33" i="3"/>
  <c r="BI28" i="3"/>
  <c r="BI31" i="3"/>
  <c r="BI22" i="3"/>
  <c r="BI27" i="3"/>
  <c r="BI32" i="3"/>
  <c r="BI37" i="3"/>
  <c r="BI16" i="3"/>
  <c r="BI35" i="3"/>
  <c r="BI17" i="3"/>
  <c r="BI24" i="3"/>
  <c r="H7" i="7"/>
  <c r="H8" i="7"/>
  <c r="H9" i="7"/>
  <c r="H10" i="7"/>
  <c r="H11" i="7"/>
  <c r="H12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6" i="7"/>
  <c r="M5" i="8"/>
  <c r="M6" i="8"/>
  <c r="M7" i="8"/>
  <c r="M8" i="8"/>
  <c r="M9" i="8"/>
  <c r="M10" i="8"/>
  <c r="M22" i="8"/>
  <c r="M11" i="8"/>
  <c r="M12" i="8"/>
  <c r="M13" i="8"/>
  <c r="M14" i="8"/>
  <c r="M15" i="8"/>
  <c r="M16" i="8"/>
  <c r="M23" i="8"/>
  <c r="M17" i="8"/>
  <c r="M26" i="8"/>
  <c r="M18" i="8"/>
  <c r="M19" i="8"/>
  <c r="M20" i="8"/>
  <c r="M21" i="8"/>
  <c r="M32" i="8"/>
  <c r="M24" i="8"/>
  <c r="M25" i="8"/>
  <c r="M27" i="8"/>
  <c r="M28" i="8"/>
  <c r="M40" i="8"/>
  <c r="M29" i="8"/>
  <c r="M30" i="8"/>
  <c r="M31" i="8"/>
  <c r="M33" i="8"/>
  <c r="M39" i="8"/>
  <c r="M34" i="8"/>
  <c r="M35" i="8"/>
  <c r="M36" i="8"/>
  <c r="M37" i="8"/>
  <c r="M38" i="8"/>
  <c r="M41" i="8"/>
  <c r="M42" i="8"/>
  <c r="M43" i="8"/>
  <c r="M44" i="8"/>
  <c r="M4" i="8"/>
  <c r="I6" i="4"/>
  <c r="I7" i="4"/>
  <c r="I8" i="4"/>
  <c r="I9" i="4"/>
  <c r="E5" i="13"/>
  <c r="E6" i="13"/>
  <c r="E7" i="13"/>
  <c r="E8" i="13"/>
  <c r="E9" i="13"/>
  <c r="E10" i="13"/>
  <c r="E11" i="13"/>
  <c r="E12" i="13"/>
  <c r="E13" i="13"/>
  <c r="E4" i="13"/>
  <c r="E5" i="12"/>
  <c r="E6" i="12"/>
  <c r="E7" i="12"/>
  <c r="E8" i="12"/>
  <c r="E9" i="12"/>
  <c r="E10" i="12"/>
  <c r="E11" i="12"/>
  <c r="E12" i="12"/>
  <c r="E13" i="12"/>
  <c r="E14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E29" i="12"/>
  <c r="E4" i="12"/>
  <c r="AM426" i="15" l="1"/>
  <c r="AI427" i="15"/>
  <c r="AI426" i="15"/>
  <c r="AE428" i="15"/>
  <c r="AE427" i="15"/>
  <c r="AA426" i="15"/>
  <c r="W428" i="15"/>
  <c r="W427" i="15"/>
  <c r="W426" i="15"/>
  <c r="S427" i="15"/>
  <c r="S426" i="15"/>
  <c r="O427" i="15"/>
  <c r="K427" i="15"/>
  <c r="K426" i="15"/>
  <c r="G426" i="15"/>
  <c r="C427" i="15"/>
  <c r="C426" i="15"/>
  <c r="G422" i="15"/>
  <c r="C422" i="15"/>
  <c r="I5" i="4"/>
  <c r="F17" i="5"/>
  <c r="F24" i="5"/>
  <c r="F6" i="5"/>
  <c r="F27" i="5"/>
  <c r="F12" i="5"/>
  <c r="F28" i="5"/>
  <c r="F16" i="5"/>
  <c r="F14" i="5"/>
  <c r="F11" i="5"/>
  <c r="F4" i="5"/>
  <c r="F19" i="5"/>
  <c r="F7" i="5"/>
  <c r="F21" i="5"/>
  <c r="F15" i="5"/>
  <c r="F9" i="5"/>
  <c r="F22" i="5"/>
  <c r="F25" i="5"/>
  <c r="F26" i="5"/>
  <c r="F5" i="5"/>
  <c r="F13" i="5"/>
  <c r="F10" i="5"/>
  <c r="F8" i="5"/>
  <c r="F23" i="5"/>
  <c r="F20" i="5"/>
  <c r="F29" i="5"/>
  <c r="F18" i="5"/>
  <c r="I422" i="15" l="1"/>
  <c r="AO427" i="15"/>
  <c r="AO428" i="15"/>
  <c r="AO426" i="15"/>
  <c r="E14" i="13"/>
  <c r="E30" i="12" l="1"/>
  <c r="G418" i="15" l="1"/>
  <c r="G414" i="15"/>
  <c r="I414" i="15" s="1"/>
  <c r="G413" i="15"/>
  <c r="G415" i="15"/>
  <c r="C417" i="15"/>
  <c r="I417" i="15" s="1"/>
  <c r="AC412" i="15" s="1"/>
  <c r="C418" i="15"/>
  <c r="C413" i="15"/>
  <c r="I413" i="15" s="1"/>
  <c r="C416" i="15"/>
  <c r="I416" i="15" s="1"/>
  <c r="C415" i="15"/>
  <c r="AA404" i="15"/>
  <c r="AA405" i="15"/>
  <c r="AA403" i="15"/>
  <c r="AA408" i="15"/>
  <c r="W406" i="15"/>
  <c r="W410" i="15"/>
  <c r="W405" i="15"/>
  <c r="W409" i="15"/>
  <c r="S403" i="15"/>
  <c r="O404" i="15"/>
  <c r="O409" i="15"/>
  <c r="K406" i="15"/>
  <c r="K410" i="15"/>
  <c r="K407" i="15"/>
  <c r="K405" i="15"/>
  <c r="K403" i="15"/>
  <c r="G404" i="15"/>
  <c r="G405" i="15"/>
  <c r="G403" i="15"/>
  <c r="C406" i="15"/>
  <c r="C408" i="15"/>
  <c r="C407" i="15"/>
  <c r="AC407" i="15" s="1"/>
  <c r="C405" i="15"/>
  <c r="AC406" i="15" l="1"/>
  <c r="I418" i="15"/>
  <c r="AC408" i="15" s="1"/>
  <c r="AC404" i="15"/>
  <c r="AC405" i="15"/>
  <c r="AC409" i="15"/>
  <c r="AC403" i="15"/>
  <c r="AC410" i="15"/>
  <c r="I415" i="15"/>
  <c r="AC411" i="15" s="1"/>
  <c r="O399" i="15"/>
  <c r="K399" i="15"/>
  <c r="G399" i="15"/>
  <c r="C399" i="15"/>
  <c r="C395" i="15"/>
  <c r="C391" i="15"/>
  <c r="G387" i="15"/>
  <c r="C387" i="15"/>
  <c r="S382" i="15"/>
  <c r="O382" i="15"/>
  <c r="K382" i="15"/>
  <c r="G383" i="15"/>
  <c r="U383" i="15" s="1"/>
  <c r="C382" i="15"/>
  <c r="W375" i="15"/>
  <c r="W372" i="15"/>
  <c r="W374" i="15"/>
  <c r="W373" i="15"/>
  <c r="S376" i="15"/>
  <c r="S375" i="15"/>
  <c r="S372" i="15"/>
  <c r="O376" i="15"/>
  <c r="O373" i="15"/>
  <c r="O374" i="15"/>
  <c r="K375" i="15"/>
  <c r="K372" i="15"/>
  <c r="G372" i="15"/>
  <c r="G376" i="15"/>
  <c r="G377" i="15"/>
  <c r="Y377" i="15" s="1"/>
  <c r="G374" i="15"/>
  <c r="C378" i="15"/>
  <c r="Y378" i="15" s="1"/>
  <c r="C375" i="15"/>
  <c r="C372" i="15"/>
  <c r="C374" i="15"/>
  <c r="AA362" i="15"/>
  <c r="AA361" i="15"/>
  <c r="AA360" i="15"/>
  <c r="W361" i="15"/>
  <c r="W362" i="15"/>
  <c r="W360" i="15"/>
  <c r="S361" i="15"/>
  <c r="S363" i="15"/>
  <c r="S364" i="15"/>
  <c r="O363" i="15"/>
  <c r="O362" i="15"/>
  <c r="G363" i="15"/>
  <c r="G361" i="15"/>
  <c r="G360" i="15"/>
  <c r="K365" i="15"/>
  <c r="AC365" i="15" s="1"/>
  <c r="K362" i="15"/>
  <c r="K363" i="15"/>
  <c r="K366" i="15"/>
  <c r="AC366" i="15" s="1"/>
  <c r="K364" i="15"/>
  <c r="C368" i="15"/>
  <c r="AC368" i="15" s="1"/>
  <c r="C367" i="15"/>
  <c r="AC367" i="15" s="1"/>
  <c r="C362" i="15"/>
  <c r="C356" i="15"/>
  <c r="G352" i="15"/>
  <c r="C352" i="15"/>
  <c r="G346" i="15"/>
  <c r="I346" i="15" s="1"/>
  <c r="G347" i="15"/>
  <c r="I347" i="15" s="1"/>
  <c r="G348" i="15"/>
  <c r="I348" i="15" s="1"/>
  <c r="G345" i="15"/>
  <c r="C345" i="15"/>
  <c r="S342" i="15"/>
  <c r="O342" i="15"/>
  <c r="K342" i="15"/>
  <c r="G341" i="15"/>
  <c r="C341" i="15"/>
  <c r="K337" i="15"/>
  <c r="G337" i="15"/>
  <c r="C337" i="15"/>
  <c r="S332" i="15"/>
  <c r="S333" i="15"/>
  <c r="O332" i="15"/>
  <c r="O333" i="15"/>
  <c r="O334" i="15"/>
  <c r="O331" i="15"/>
  <c r="K331" i="15"/>
  <c r="G332" i="15"/>
  <c r="G331" i="15"/>
  <c r="C333" i="15"/>
  <c r="C327" i="15"/>
  <c r="AE324" i="15"/>
  <c r="AE320" i="15"/>
  <c r="AE321" i="15"/>
  <c r="AA323" i="15"/>
  <c r="AA321" i="15"/>
  <c r="AA322" i="15"/>
  <c r="O324" i="15"/>
  <c r="O321" i="15"/>
  <c r="O320" i="15"/>
  <c r="W321" i="15"/>
  <c r="W324" i="15"/>
  <c r="W322" i="15"/>
  <c r="S321" i="15"/>
  <c r="S319" i="15"/>
  <c r="S324" i="15"/>
  <c r="K323" i="15"/>
  <c r="K324" i="15"/>
  <c r="K322" i="15"/>
  <c r="G320" i="15"/>
  <c r="G321" i="15"/>
  <c r="G322" i="15"/>
  <c r="G319" i="15"/>
  <c r="AG319" i="15" s="1"/>
  <c r="C323" i="15"/>
  <c r="C321" i="15"/>
  <c r="C322" i="15"/>
  <c r="I387" i="15" l="1"/>
  <c r="I352" i="15"/>
  <c r="U332" i="15"/>
  <c r="U342" i="15"/>
  <c r="AG320" i="15"/>
  <c r="AG323" i="15"/>
  <c r="U382" i="15"/>
  <c r="AC364" i="15"/>
  <c r="AG322" i="15"/>
  <c r="AC362" i="15"/>
  <c r="AC360" i="15"/>
  <c r="Y375" i="15"/>
  <c r="U333" i="15"/>
  <c r="AC361" i="15"/>
  <c r="Y376" i="15"/>
  <c r="U331" i="15"/>
  <c r="AC363" i="15"/>
  <c r="Y373" i="15"/>
  <c r="AG324" i="15"/>
  <c r="AG321" i="15"/>
  <c r="M337" i="15"/>
  <c r="U334" i="15" s="1"/>
  <c r="U341" i="15"/>
  <c r="I345" i="15"/>
  <c r="Y374" i="15"/>
  <c r="Y372" i="15"/>
  <c r="Q399" i="15"/>
  <c r="C315" i="15"/>
  <c r="S311" i="15"/>
  <c r="S310" i="15"/>
  <c r="O311" i="15"/>
  <c r="O310" i="15"/>
  <c r="G310" i="15"/>
  <c r="K310" i="15"/>
  <c r="C310" i="15"/>
  <c r="W302" i="15"/>
  <c r="S306" i="15"/>
  <c r="AC306" i="15" s="1"/>
  <c r="S305" i="15"/>
  <c r="O303" i="15"/>
  <c r="AA302" i="15"/>
  <c r="O302" i="15"/>
  <c r="K305" i="15"/>
  <c r="AC305" i="15" s="1"/>
  <c r="K304" i="15"/>
  <c r="AC304" i="15" s="1"/>
  <c r="K303" i="15"/>
  <c r="K302" i="15"/>
  <c r="G303" i="15"/>
  <c r="C302" i="15"/>
  <c r="K298" i="15"/>
  <c r="G298" i="15"/>
  <c r="C298" i="15"/>
  <c r="C294" i="15"/>
  <c r="O290" i="15"/>
  <c r="O289" i="15"/>
  <c r="K290" i="15"/>
  <c r="C290" i="15"/>
  <c r="G289" i="15"/>
  <c r="C289" i="15"/>
  <c r="O285" i="15"/>
  <c r="Q285" i="15" s="1"/>
  <c r="K284" i="15"/>
  <c r="G284" i="15"/>
  <c r="C284" i="15"/>
  <c r="O280" i="15"/>
  <c r="K280" i="15"/>
  <c r="G280" i="15"/>
  <c r="C280" i="15"/>
  <c r="G276" i="15"/>
  <c r="C276" i="15"/>
  <c r="S272" i="15"/>
  <c r="O272" i="15"/>
  <c r="K272" i="15"/>
  <c r="G272" i="15"/>
  <c r="C272" i="15"/>
  <c r="Q290" i="15" l="1"/>
  <c r="U311" i="15"/>
  <c r="Q284" i="15"/>
  <c r="Q289" i="15"/>
  <c r="Q280" i="15"/>
  <c r="M298" i="15"/>
  <c r="AC303" i="15"/>
  <c r="U272" i="15"/>
  <c r="I276" i="15"/>
  <c r="AC302" i="15"/>
  <c r="U310" i="15"/>
  <c r="C237" i="15"/>
  <c r="C236" i="15"/>
  <c r="C235" i="15"/>
  <c r="C234" i="15"/>
  <c r="C233" i="15"/>
  <c r="C232" i="15"/>
  <c r="C231" i="15"/>
  <c r="C243" i="15" l="1"/>
  <c r="G252" i="15"/>
  <c r="C244" i="15"/>
  <c r="G253" i="15"/>
  <c r="C245" i="15"/>
  <c r="M254" i="15" s="1"/>
  <c r="C248" i="15"/>
  <c r="G257" i="15"/>
  <c r="W263" i="15"/>
  <c r="W264" i="15"/>
  <c r="W259" i="15"/>
  <c r="W258" i="15"/>
  <c r="W257" i="15"/>
  <c r="S265" i="15"/>
  <c r="S262" i="15"/>
  <c r="S268" i="15"/>
  <c r="Y268" i="15" s="1"/>
  <c r="S261" i="15"/>
  <c r="S266" i="15"/>
  <c r="S267" i="15"/>
  <c r="Y267" i="15" s="1"/>
  <c r="S257" i="15"/>
  <c r="K262" i="15"/>
  <c r="K261" i="15"/>
  <c r="K260" i="15"/>
  <c r="K259" i="15"/>
  <c r="K258" i="15"/>
  <c r="K257" i="15"/>
  <c r="O263" i="15"/>
  <c r="O259" i="15"/>
  <c r="O257" i="15"/>
  <c r="G265" i="15"/>
  <c r="Y265" i="15" s="1"/>
  <c r="G260" i="15"/>
  <c r="G259" i="15"/>
  <c r="G266" i="15"/>
  <c r="C254" i="15"/>
  <c r="C253" i="15"/>
  <c r="C252" i="15"/>
  <c r="C251" i="15"/>
  <c r="K253" i="15"/>
  <c r="K252" i="15"/>
  <c r="K251" i="15"/>
  <c r="M251" i="15" s="1"/>
  <c r="C34" i="3"/>
  <c r="M253" i="15" l="1"/>
  <c r="Y264" i="15" s="1"/>
  <c r="Y258" i="15"/>
  <c r="Y266" i="15"/>
  <c r="Y261" i="15"/>
  <c r="Y260" i="15"/>
  <c r="Y262" i="15"/>
  <c r="Y259" i="15"/>
  <c r="Y257" i="15"/>
  <c r="Y263" i="15"/>
  <c r="M252" i="15"/>
  <c r="W247" i="15"/>
  <c r="W226" i="15"/>
  <c r="W225" i="15"/>
  <c r="W224" i="15"/>
  <c r="W220" i="15"/>
  <c r="W217" i="15"/>
  <c r="S226" i="15"/>
  <c r="S225" i="15"/>
  <c r="S223" i="15"/>
  <c r="S221" i="15"/>
  <c r="S220" i="15"/>
  <c r="S219" i="15"/>
  <c r="S218" i="15"/>
  <c r="Y218" i="15" s="1"/>
  <c r="S217" i="15"/>
  <c r="O227" i="15"/>
  <c r="O226" i="15"/>
  <c r="O225" i="15"/>
  <c r="O224" i="15"/>
  <c r="O219" i="15"/>
  <c r="O217" i="15"/>
  <c r="G227" i="15"/>
  <c r="G225" i="15"/>
  <c r="G224" i="15"/>
  <c r="G222" i="15"/>
  <c r="G217" i="15"/>
  <c r="K227" i="15"/>
  <c r="K225" i="15"/>
  <c r="K224" i="15"/>
  <c r="K223" i="15"/>
  <c r="K221" i="15"/>
  <c r="Y221" i="15" s="1"/>
  <c r="K220" i="15"/>
  <c r="K217" i="15"/>
  <c r="C228" i="15"/>
  <c r="Y228" i="15" s="1"/>
  <c r="C227" i="15"/>
  <c r="C226" i="15"/>
  <c r="C225" i="15"/>
  <c r="C224" i="15"/>
  <c r="C223" i="15"/>
  <c r="C222" i="15"/>
  <c r="C217" i="15"/>
  <c r="K214" i="15"/>
  <c r="M214" i="15" s="1"/>
  <c r="K212" i="15"/>
  <c r="K208" i="15"/>
  <c r="G213" i="15"/>
  <c r="M213" i="15" s="1"/>
  <c r="G209" i="15"/>
  <c r="G206" i="15"/>
  <c r="C212" i="15"/>
  <c r="C211" i="15"/>
  <c r="M211" i="15" s="1"/>
  <c r="C210" i="15"/>
  <c r="M210" i="15" s="1"/>
  <c r="C209" i="15"/>
  <c r="C208" i="15"/>
  <c r="M208" i="15" s="1"/>
  <c r="C207" i="15"/>
  <c r="M207" i="15" s="1"/>
  <c r="C206" i="15"/>
  <c r="W202" i="15"/>
  <c r="Y202" i="15" s="1"/>
  <c r="W197" i="15"/>
  <c r="W196" i="15"/>
  <c r="W195" i="15"/>
  <c r="W194" i="15"/>
  <c r="W193" i="15"/>
  <c r="W192" i="15"/>
  <c r="W191" i="15"/>
  <c r="W190" i="15"/>
  <c r="W188" i="15"/>
  <c r="W187" i="15"/>
  <c r="S201" i="15"/>
  <c r="S199" i="15"/>
  <c r="S198" i="15"/>
  <c r="S190" i="15"/>
  <c r="S187" i="15"/>
  <c r="O197" i="15"/>
  <c r="O196" i="15"/>
  <c r="O195" i="15"/>
  <c r="O194" i="15"/>
  <c r="O193" i="15"/>
  <c r="O192" i="15"/>
  <c r="O191" i="15"/>
  <c r="O190" i="15"/>
  <c r="O189" i="15"/>
  <c r="Y189" i="15" s="1"/>
  <c r="O188" i="15"/>
  <c r="O187" i="15"/>
  <c r="O186" i="15"/>
  <c r="Y186" i="15" s="1"/>
  <c r="K201" i="15"/>
  <c r="K200" i="15"/>
  <c r="K198" i="15"/>
  <c r="K192" i="15"/>
  <c r="K190" i="15"/>
  <c r="K187" i="15"/>
  <c r="G197" i="15"/>
  <c r="G196" i="15"/>
  <c r="G195" i="15"/>
  <c r="G194" i="15"/>
  <c r="G193" i="15"/>
  <c r="G192" i="15"/>
  <c r="G191" i="15"/>
  <c r="G190" i="15"/>
  <c r="G188" i="15"/>
  <c r="G187" i="15"/>
  <c r="C200" i="15"/>
  <c r="C199" i="15"/>
  <c r="C198" i="15"/>
  <c r="C192" i="15"/>
  <c r="C190" i="15"/>
  <c r="C187" i="15"/>
  <c r="C38" i="3"/>
  <c r="C37" i="3"/>
  <c r="C182" i="15"/>
  <c r="C181" i="15"/>
  <c r="C180" i="15"/>
  <c r="C179" i="15"/>
  <c r="S168" i="15"/>
  <c r="S167" i="15"/>
  <c r="S166" i="15"/>
  <c r="S165" i="15"/>
  <c r="S164" i="15"/>
  <c r="S162" i="15"/>
  <c r="S161" i="15"/>
  <c r="O175" i="15"/>
  <c r="O174" i="15"/>
  <c r="O173" i="15"/>
  <c r="O171" i="15"/>
  <c r="O170" i="15"/>
  <c r="O168" i="15"/>
  <c r="O167" i="15"/>
  <c r="O166" i="15"/>
  <c r="O163" i="15"/>
  <c r="K167" i="15"/>
  <c r="K166" i="15"/>
  <c r="K165" i="15"/>
  <c r="K164" i="15"/>
  <c r="K163" i="15"/>
  <c r="K162" i="15"/>
  <c r="K161" i="15"/>
  <c r="G175" i="15"/>
  <c r="U175" i="15" s="1"/>
  <c r="G174" i="15"/>
  <c r="G173" i="15"/>
  <c r="G172" i="15"/>
  <c r="U172" i="15" s="1"/>
  <c r="G171" i="15"/>
  <c r="G170" i="15"/>
  <c r="G169" i="15"/>
  <c r="U169" i="15" s="1"/>
  <c r="G168" i="15"/>
  <c r="G165" i="15"/>
  <c r="G163" i="15"/>
  <c r="G161" i="15"/>
  <c r="C171" i="15"/>
  <c r="C168" i="15"/>
  <c r="C167" i="15"/>
  <c r="C165" i="15"/>
  <c r="C164" i="15"/>
  <c r="C163" i="15"/>
  <c r="C162" i="15"/>
  <c r="C161" i="15"/>
  <c r="C157" i="15"/>
  <c r="C39" i="3"/>
  <c r="C153" i="15"/>
  <c r="C152" i="15"/>
  <c r="C151" i="15"/>
  <c r="C150" i="15"/>
  <c r="C149" i="15"/>
  <c r="C148" i="15"/>
  <c r="C147" i="15"/>
  <c r="C146" i="15"/>
  <c r="C145" i="15"/>
  <c r="C144" i="15"/>
  <c r="Y222" i="15" l="1"/>
  <c r="Y227" i="15"/>
  <c r="Y224" i="15"/>
  <c r="U174" i="15"/>
  <c r="Y220" i="15"/>
  <c r="M209" i="15"/>
  <c r="Y223" i="15"/>
  <c r="M206" i="15"/>
  <c r="M212" i="15"/>
  <c r="Y247" i="15" s="1"/>
  <c r="Y219" i="15"/>
  <c r="Y217" i="15"/>
  <c r="Y226" i="15"/>
  <c r="Y225" i="15"/>
  <c r="Y188" i="15"/>
  <c r="Y199" i="15"/>
  <c r="Y194" i="15"/>
  <c r="Y201" i="15"/>
  <c r="Y191" i="15"/>
  <c r="Y195" i="15"/>
  <c r="Y193" i="15"/>
  <c r="Y197" i="15"/>
  <c r="Y187" i="15"/>
  <c r="Y192" i="15"/>
  <c r="Y196" i="15"/>
  <c r="Y190" i="15"/>
  <c r="Y200" i="15"/>
  <c r="Y198" i="15"/>
  <c r="U166" i="15"/>
  <c r="U161" i="15"/>
  <c r="U165" i="15"/>
  <c r="U162" i="15"/>
  <c r="U170" i="15"/>
  <c r="U167" i="15"/>
  <c r="U163" i="15"/>
  <c r="U168" i="15"/>
  <c r="U164" i="15"/>
  <c r="U171" i="15"/>
  <c r="U173" i="15"/>
  <c r="K140" i="15"/>
  <c r="K139" i="15"/>
  <c r="K138" i="15"/>
  <c r="K137" i="15"/>
  <c r="K135" i="15"/>
  <c r="K134" i="15"/>
  <c r="K133" i="15"/>
  <c r="K132" i="15"/>
  <c r="G140" i="15"/>
  <c r="G139" i="15"/>
  <c r="M139" i="15" s="1"/>
  <c r="G138" i="15"/>
  <c r="G137" i="15"/>
  <c r="G136" i="15"/>
  <c r="M136" i="15" s="1"/>
  <c r="G135" i="15"/>
  <c r="G134" i="15"/>
  <c r="G133" i="15"/>
  <c r="G132" i="15"/>
  <c r="C140" i="15"/>
  <c r="C138" i="15"/>
  <c r="M138" i="15" s="1"/>
  <c r="C137" i="15"/>
  <c r="M137" i="15" s="1"/>
  <c r="C135" i="15"/>
  <c r="C134" i="15"/>
  <c r="C133" i="15"/>
  <c r="K127" i="15"/>
  <c r="K126" i="15"/>
  <c r="K125" i="15"/>
  <c r="K124" i="15"/>
  <c r="K123" i="15"/>
  <c r="M123" i="15" s="1"/>
  <c r="K122" i="15"/>
  <c r="K121" i="15"/>
  <c r="K119" i="15"/>
  <c r="K118" i="15"/>
  <c r="G128" i="15"/>
  <c r="M128" i="15" s="1"/>
  <c r="G126" i="15"/>
  <c r="G125" i="15"/>
  <c r="G122" i="15"/>
  <c r="G121" i="15"/>
  <c r="G119" i="15"/>
  <c r="C127" i="15"/>
  <c r="C126" i="15"/>
  <c r="C125" i="15"/>
  <c r="C124" i="15"/>
  <c r="C122" i="15"/>
  <c r="C121" i="15"/>
  <c r="C120" i="15"/>
  <c r="M120" i="15" s="1"/>
  <c r="C119" i="15"/>
  <c r="C118" i="15"/>
  <c r="M107" i="15"/>
  <c r="M108" i="15"/>
  <c r="M109" i="15"/>
  <c r="M110" i="15"/>
  <c r="M111" i="15"/>
  <c r="M112" i="15"/>
  <c r="M113" i="15"/>
  <c r="M114" i="15"/>
  <c r="M106" i="15"/>
  <c r="K103" i="15"/>
  <c r="M103" i="15" s="1"/>
  <c r="K102" i="15"/>
  <c r="K100" i="15"/>
  <c r="K99" i="15"/>
  <c r="K98" i="15"/>
  <c r="K97" i="15"/>
  <c r="K96" i="15"/>
  <c r="M96" i="15" s="1"/>
  <c r="K95" i="15"/>
  <c r="K94" i="15"/>
  <c r="G102" i="15"/>
  <c r="G99" i="15"/>
  <c r="G98" i="15"/>
  <c r="G94" i="15"/>
  <c r="C102" i="15"/>
  <c r="C101" i="15"/>
  <c r="M101" i="15" s="1"/>
  <c r="C100" i="15"/>
  <c r="C99" i="15"/>
  <c r="C97" i="15"/>
  <c r="M97" i="15" s="1"/>
  <c r="C95" i="15"/>
  <c r="C94" i="15"/>
  <c r="K87" i="15"/>
  <c r="K84" i="15"/>
  <c r="K86" i="15"/>
  <c r="K85" i="15"/>
  <c r="G83" i="15"/>
  <c r="M83" i="15" s="1"/>
  <c r="G88" i="15"/>
  <c r="M88" i="15" s="1"/>
  <c r="G84" i="15"/>
  <c r="G87" i="15"/>
  <c r="G86" i="15"/>
  <c r="G85" i="15"/>
  <c r="C89" i="15"/>
  <c r="M89" i="15" s="1"/>
  <c r="C90" i="15"/>
  <c r="M90" i="15" s="1"/>
  <c r="C84" i="15"/>
  <c r="C85" i="15"/>
  <c r="M102" i="15" l="1"/>
  <c r="M133" i="15"/>
  <c r="M140" i="15"/>
  <c r="M134" i="15"/>
  <c r="M132" i="15"/>
  <c r="M135" i="15"/>
  <c r="M127" i="15"/>
  <c r="M124" i="15"/>
  <c r="M119" i="15"/>
  <c r="M121" i="15"/>
  <c r="M118" i="15"/>
  <c r="M122" i="15"/>
  <c r="M126" i="15"/>
  <c r="M125" i="15"/>
  <c r="M98" i="15"/>
  <c r="M95" i="15"/>
  <c r="M99" i="15"/>
  <c r="M100" i="15"/>
  <c r="M94" i="15"/>
  <c r="M87" i="15"/>
  <c r="M86" i="15"/>
  <c r="M85" i="15"/>
  <c r="M84" i="15"/>
  <c r="G79" i="15"/>
  <c r="C79" i="15"/>
  <c r="K74" i="15"/>
  <c r="K73" i="15"/>
  <c r="K72" i="15"/>
  <c r="K75" i="15"/>
  <c r="G74" i="15"/>
  <c r="G72" i="15"/>
  <c r="G75" i="15"/>
  <c r="G70" i="15"/>
  <c r="C74" i="15"/>
  <c r="C73" i="15"/>
  <c r="M73" i="15" s="1"/>
  <c r="C72" i="15"/>
  <c r="C71" i="15"/>
  <c r="M71" i="15" s="1"/>
  <c r="C70" i="15"/>
  <c r="C69" i="15"/>
  <c r="M69" i="15" s="1"/>
  <c r="M70" i="15" l="1"/>
  <c r="I79" i="15"/>
  <c r="M74" i="15"/>
  <c r="M75" i="15"/>
  <c r="M72" i="15"/>
  <c r="W63" i="15"/>
  <c r="S63" i="15"/>
  <c r="O64" i="15"/>
  <c r="K65" i="15"/>
  <c r="G64" i="15"/>
  <c r="C65" i="15"/>
  <c r="G59" i="15"/>
  <c r="C59" i="15"/>
  <c r="C55" i="15"/>
  <c r="E55" i="15" s="1"/>
  <c r="G51" i="15"/>
  <c r="C51" i="15"/>
  <c r="S45" i="15"/>
  <c r="O45" i="15"/>
  <c r="K47" i="15"/>
  <c r="U47" i="15" s="1"/>
  <c r="K45" i="15"/>
  <c r="G46" i="15"/>
  <c r="U46" i="15" s="1"/>
  <c r="G45" i="15"/>
  <c r="C45" i="15"/>
  <c r="C41" i="15"/>
  <c r="E41" i="15" s="1"/>
  <c r="G37" i="15"/>
  <c r="C37" i="15"/>
  <c r="G33" i="15"/>
  <c r="C33" i="15"/>
  <c r="I59" i="15" l="1"/>
  <c r="I37" i="15"/>
  <c r="U45" i="15"/>
  <c r="Y63" i="15"/>
  <c r="I33" i="15"/>
  <c r="I51" i="15"/>
  <c r="Y65" i="15"/>
  <c r="Y64" i="15"/>
  <c r="C29" i="15"/>
  <c r="G25" i="15"/>
  <c r="G23" i="15"/>
  <c r="G22" i="15"/>
  <c r="I22" i="15" s="1"/>
  <c r="G21" i="15"/>
  <c r="G20" i="15"/>
  <c r="G19" i="15"/>
  <c r="C25" i="15"/>
  <c r="C24" i="15"/>
  <c r="I24" i="15" s="1"/>
  <c r="C23" i="15"/>
  <c r="C21" i="15"/>
  <c r="C20" i="15"/>
  <c r="C19" i="15"/>
  <c r="C15" i="3"/>
  <c r="C12" i="3"/>
  <c r="C29" i="3"/>
  <c r="C42" i="3"/>
  <c r="C36" i="3"/>
  <c r="C19" i="3"/>
  <c r="C7" i="3"/>
  <c r="C18" i="3"/>
  <c r="C13" i="3"/>
  <c r="C6" i="3"/>
  <c r="C10" i="3"/>
  <c r="C23" i="3"/>
  <c r="C5" i="3"/>
  <c r="C14" i="3"/>
  <c r="C8" i="3"/>
  <c r="C33" i="3"/>
  <c r="C28" i="3"/>
  <c r="C31" i="3"/>
  <c r="C22" i="3"/>
  <c r="C27" i="3"/>
  <c r="C32" i="3"/>
  <c r="C16" i="3"/>
  <c r="C35" i="3"/>
  <c r="C24" i="3"/>
  <c r="C25" i="3"/>
  <c r="C9" i="3"/>
  <c r="G15" i="15"/>
  <c r="G13" i="15"/>
  <c r="I13" i="15" s="1"/>
  <c r="G12" i="15"/>
  <c r="I12" i="15" s="1"/>
  <c r="G11" i="15"/>
  <c r="G10" i="15"/>
  <c r="I10" i="15" s="1"/>
  <c r="G9" i="15"/>
  <c r="G8" i="15"/>
  <c r="G7" i="15"/>
  <c r="G5" i="15"/>
  <c r="G4" i="15"/>
  <c r="C9" i="15"/>
  <c r="C6" i="15"/>
  <c r="I6" i="15" s="1"/>
  <c r="C14" i="15"/>
  <c r="I14" i="15" s="1"/>
  <c r="C5" i="15"/>
  <c r="C15" i="15"/>
  <c r="C8" i="15"/>
  <c r="C7" i="15"/>
  <c r="C4" i="15"/>
  <c r="C11" i="15"/>
  <c r="I4" i="15" l="1"/>
  <c r="I19" i="15"/>
  <c r="I21" i="15"/>
  <c r="I23" i="15"/>
  <c r="I20" i="15"/>
  <c r="I25" i="15"/>
  <c r="I15" i="15"/>
  <c r="I11" i="15"/>
  <c r="I7" i="15"/>
  <c r="I5" i="15"/>
  <c r="I9" i="15"/>
  <c r="I8" i="15"/>
  <c r="C17" i="3"/>
  <c r="C21" i="3"/>
  <c r="C4" i="3"/>
  <c r="C26" i="3"/>
  <c r="C41" i="3"/>
  <c r="C20" i="3"/>
  <c r="C11" i="3"/>
  <c r="I10" i="4" l="1"/>
</calcChain>
</file>

<file path=xl/sharedStrings.xml><?xml version="1.0" encoding="utf-8"?>
<sst xmlns="http://schemas.openxmlformats.org/spreadsheetml/2006/main" count="1610" uniqueCount="419">
  <si>
    <t>Kvalifikacinių taškų lentelė</t>
  </si>
  <si>
    <t>Dalyvių skaičius</t>
  </si>
  <si>
    <t>Užimta vieta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</si>
  <si>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</si>
  <si>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</si>
  <si>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</si>
  <si>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</si>
  <si>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</si>
  <si>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</si>
  <si>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</si>
  <si>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</si>
  <si>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</si>
  <si>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</si>
  <si>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</si>
  <si>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</si>
  <si>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XIII</t>
  </si>
  <si>
    <t>XIV</t>
  </si>
  <si>
    <t>XV</t>
  </si>
  <si>
    <t>XVI</t>
  </si>
  <si>
    <t>LŽSF nacionalinių ir tarptautinių konkūrų varžybų reitinginių taškų skaičiavimo tvarka</t>
  </si>
  <si>
    <t>Eil. Nr.</t>
  </si>
  <si>
    <t>Varžybų pavadinimas</t>
  </si>
  <si>
    <t xml:space="preserve">Koeficientas </t>
  </si>
  <si>
    <t>Papildomas koeficientas už konkūro aukštį</t>
  </si>
  <si>
    <t>130-140 cm</t>
  </si>
  <si>
    <t>145-155 cm</t>
  </si>
  <si>
    <t>Nacionalinės konkūrinio jojimo varžybos Lietuvoje ir užsienyje</t>
  </si>
  <si>
    <t xml:space="preserve">FEI Children International Classics </t>
  </si>
  <si>
    <t>Baltic Jumping League</t>
  </si>
  <si>
    <t>CSICh/CSIJ/CSIYR/CSIU25/CSI-Am/CSIP</t>
  </si>
  <si>
    <t>CSI1*/ CSI2*/CSI2*-W/CSIO2*</t>
  </si>
  <si>
    <t>CSI3*/CSI3*-W/CSIO3*</t>
  </si>
  <si>
    <t>CSI4*/CSI4*-W/CSIO4*//CSI3*-W LF</t>
  </si>
  <si>
    <t>CSI5*/CSI5*-W/CSIO5*</t>
  </si>
  <si>
    <t>FEI World Cup Final, World Equestrian Games (WEG), Europos čempionatas (J, YR, Am, P, S), Olimpinės žaidynės</t>
  </si>
  <si>
    <t xml:space="preserve">Nacionaliniai čempionatai </t>
  </si>
  <si>
    <t>Skiriami taškai už dalyvavimą, jei nepasiekta reitinginė vieta</t>
  </si>
  <si>
    <t>Taškai</t>
  </si>
  <si>
    <t>World Equestrian Games (WEG), FEI World Cup Final, Europos čempionatas (J, YR, Am, P, S), Olimpinės žaidynės</t>
  </si>
  <si>
    <t>FEI Children International Classics Final</t>
  </si>
  <si>
    <t>Pastabos:</t>
  </si>
  <si>
    <t>Skaičiuojamas tik vieno žirgo reitingas.</t>
  </si>
  <si>
    <t>Reitingai suaugusiųjų grupėje skaičiuojami tik nuo 130 cm aukščio pagrindiniame konkūre.</t>
  </si>
  <si>
    <t>Nuo einamųjų metų sausio 1 d. reitinginiai taškai skaičiuojami nuo 0.</t>
  </si>
  <si>
    <t>Nuo 140-160 cm</t>
  </si>
  <si>
    <t>Nr.</t>
  </si>
  <si>
    <t>Nacionalinių varžybų pavadinimas, vykdymo vieta</t>
  </si>
  <si>
    <t>Data</t>
  </si>
  <si>
    <t>Vieta</t>
  </si>
  <si>
    <t>Vardas, pavardė</t>
  </si>
  <si>
    <t>SUMA</t>
  </si>
  <si>
    <t>Marija Švabaitė</t>
  </si>
  <si>
    <t>Augustė Kuzmickaitė</t>
  </si>
  <si>
    <t>Dominykas Grumskas</t>
  </si>
  <si>
    <t>Ieva Navickaitė</t>
  </si>
  <si>
    <t>Barbora Zamalytė</t>
  </si>
  <si>
    <t>Vilius Kascenas</t>
  </si>
  <si>
    <t>Lėja Nakvosaitė</t>
  </si>
  <si>
    <t>Laura Burgytė</t>
  </si>
  <si>
    <t>Adrija Braknytė</t>
  </si>
  <si>
    <t>Žemyna Ažubalytė</t>
  </si>
  <si>
    <t>Saulė Jočytė</t>
  </si>
  <si>
    <t>Ela Daunoraitė</t>
  </si>
  <si>
    <t>Juratė Civinskaitė</t>
  </si>
  <si>
    <t>Brigita Samoškienė</t>
  </si>
  <si>
    <t>Beatrice Eigminaite</t>
  </si>
  <si>
    <t>Ieva Grosmanaitė</t>
  </si>
  <si>
    <t>Silvija Linkevičiutė</t>
  </si>
  <si>
    <t>Dalia Latkauskiene</t>
  </si>
  <si>
    <t>Jurgis Zagorskas</t>
  </si>
  <si>
    <t>Sandra Rulyte</t>
  </si>
  <si>
    <t>Viktorija Volungenaite</t>
  </si>
  <si>
    <t>Saulius Petravičius</t>
  </si>
  <si>
    <t>Andrius Kaniava</t>
  </si>
  <si>
    <t>Laima König</t>
  </si>
  <si>
    <t>Šarūnas Dužinas</t>
  </si>
  <si>
    <t>Eglė Pakalniškytė</t>
  </si>
  <si>
    <t>Raimundas Augustis</t>
  </si>
  <si>
    <t>Sofija Jurgulyte</t>
  </si>
  <si>
    <t>Trojus Rimkevičius</t>
  </si>
  <si>
    <t>Augustė Railaitė</t>
  </si>
  <si>
    <t>Augustė Baužaitė</t>
  </si>
  <si>
    <t>Gerda Budrytė</t>
  </si>
  <si>
    <t>Paulius Uogela</t>
  </si>
  <si>
    <t>Viltė Kazlauskaitė</t>
  </si>
  <si>
    <t>Viltė Pikūnaitė</t>
  </si>
  <si>
    <t>Ignas Makarauskas</t>
  </si>
  <si>
    <t>Rugilė Petravičiūtė</t>
  </si>
  <si>
    <t>Zigmantas Jasas</t>
  </si>
  <si>
    <t>Saulė Liuimaitė</t>
  </si>
  <si>
    <t>Monika Paulauskaite</t>
  </si>
  <si>
    <t>Evita Vismerytė</t>
  </si>
  <si>
    <t>Jūnė Šapkauskaitė</t>
  </si>
  <si>
    <t>Emilija Šnirpunaite</t>
  </si>
  <si>
    <t>Kristina Paulauskiene</t>
  </si>
  <si>
    <t>Robertas Joniskis</t>
  </si>
  <si>
    <t>Saule Liuimaite</t>
  </si>
  <si>
    <t>Laura Burgyte</t>
  </si>
  <si>
    <t>Nojus Chmieliauskas</t>
  </si>
  <si>
    <t>Tarptautinių varžybų pavadinimas, vykdymo vieta</t>
  </si>
  <si>
    <t>Matas Petraitis</t>
  </si>
  <si>
    <t>Kristupas Petraitis</t>
  </si>
  <si>
    <t>Irmantas Grikienis</t>
  </si>
  <si>
    <t>Danielius Gutkauskas</t>
  </si>
  <si>
    <t>Aivaras Bataitis</t>
  </si>
  <si>
    <t>Kostas Gaigalas</t>
  </si>
  <si>
    <t>Zigmantas Šarka</t>
  </si>
  <si>
    <t>Elena Railienė</t>
  </si>
  <si>
    <t>Nerijus Šipaila</t>
  </si>
  <si>
    <t>Lietuvos konkūrų jojimo 2021m. Suaugusių užskaitos reitingai</t>
  </si>
  <si>
    <t>Andrius Petrovas</t>
  </si>
  <si>
    <t>Laura Martinavičiūtė</t>
  </si>
  <si>
    <t>Vincas Civinskas</t>
  </si>
  <si>
    <t>Aleksiej Timofejev</t>
  </si>
  <si>
    <t>Stasys Jasas</t>
  </si>
  <si>
    <t>Rugile Petraviciute</t>
  </si>
  <si>
    <t>Valdas Urbonas</t>
  </si>
  <si>
    <t>Gaudene Janaviciute</t>
  </si>
  <si>
    <t>Valdemaras Žukauskas</t>
  </si>
  <si>
    <t>Rytis Vaikšnys</t>
  </si>
  <si>
    <t>Gabriele Baužaite</t>
  </si>
  <si>
    <t>Auguste Railaite</t>
  </si>
  <si>
    <t>Lukas Civinskas</t>
  </si>
  <si>
    <t>Karolina Vasiliauskaite</t>
  </si>
  <si>
    <t>Aistis Vitkauskas</t>
  </si>
  <si>
    <t>Miglė Šačkutė</t>
  </si>
  <si>
    <t>Laura Fiodorovaitė</t>
  </si>
  <si>
    <t>Donatas Jančiauskas</t>
  </si>
  <si>
    <t>Ausra Clarke</t>
  </si>
  <si>
    <t>Justina Rėčiūnaitė</t>
  </si>
  <si>
    <t>*3,5</t>
  </si>
  <si>
    <t>*5</t>
  </si>
  <si>
    <t>*4,5</t>
  </si>
  <si>
    <t>*5,5</t>
  </si>
  <si>
    <t>*6</t>
  </si>
  <si>
    <t>Evita Vismeryte</t>
  </si>
  <si>
    <t>Justina Reciunaite</t>
  </si>
  <si>
    <t>130 - 135</t>
  </si>
  <si>
    <t>Zigmantas Sarka</t>
  </si>
  <si>
    <t>Karolina Vasiliauskaitė</t>
  </si>
  <si>
    <t>Laura Martinaviciute</t>
  </si>
  <si>
    <t>*2,5</t>
  </si>
  <si>
    <t>Donatas Janciauskas</t>
  </si>
  <si>
    <t>CSI3*</t>
  </si>
  <si>
    <t>CSI1*</t>
  </si>
  <si>
    <t>AUDRUVIS WINTER CUP 2022</t>
  </si>
  <si>
    <t>Henrikas Butvilas</t>
  </si>
  <si>
    <t>Audruvis winter cup 2022</t>
  </si>
  <si>
    <t>2022.01.29/30</t>
  </si>
  <si>
    <t>JONIŠKIS CUP 2022</t>
  </si>
  <si>
    <t>Joniškis cup 2022</t>
  </si>
  <si>
    <t>2022.02.26/27</t>
  </si>
  <si>
    <t>KEYSOE - CSI2*</t>
  </si>
  <si>
    <t>Keysoe (GBR) - CSI2*</t>
  </si>
  <si>
    <t>2022.01.09/12</t>
  </si>
  <si>
    <t>VEJER DE LA FRONTERA (ESP) - CSI4*</t>
  </si>
  <si>
    <t>Vejer de la Frontera (ESP) - CSI4*</t>
  </si>
  <si>
    <t>2022.02.05/13</t>
  </si>
  <si>
    <t>Oliva (ESP) - CSI1*, CSI2*, CSIYH1*</t>
  </si>
  <si>
    <t>2022.02.14/20</t>
  </si>
  <si>
    <t>OLIVA (ESP) - CSI1*</t>
  </si>
  <si>
    <t>Aušra Clarke</t>
  </si>
  <si>
    <t>OLIVA (ESP) - CSI1*, CSIYH1*, CSI3*</t>
  </si>
  <si>
    <t>2022.02.17/20</t>
  </si>
  <si>
    <t>KRAKOW (POL) - CSI3*</t>
  </si>
  <si>
    <t>Krakow (POL) - CSI3*</t>
  </si>
  <si>
    <t>2022.02.21/27</t>
  </si>
  <si>
    <t>Oliva (ESP) - CSI1*</t>
  </si>
  <si>
    <t>2022.03.07/13</t>
  </si>
  <si>
    <t>Herning (DEN) - CSI3*, CSI1*</t>
  </si>
  <si>
    <t>2022.03.09/13</t>
  </si>
  <si>
    <t>HERNING (DEN) - CSI3*</t>
  </si>
  <si>
    <t>AUDRUVIS CHAMPION TOUR 2021 FINAL</t>
  </si>
  <si>
    <t>2022.03.18-20</t>
  </si>
  <si>
    <t>2022.03.14/20</t>
  </si>
  <si>
    <t>Audruvis Indoor Champions Tour 2021 - 2022 FINAL</t>
  </si>
  <si>
    <t>Audruvis Equistore Ist Birthday Cup 2022</t>
  </si>
  <si>
    <t>2022.04.22/24</t>
  </si>
  <si>
    <t>Audruvis Champions Tour 2022 - Ist stage</t>
  </si>
  <si>
    <t>2022.05.27/29</t>
  </si>
  <si>
    <t>Audruvis Champions Tour 2022 - IInd stage</t>
  </si>
  <si>
    <t>Elena Railiene</t>
  </si>
  <si>
    <t>2022.06.17/19</t>
  </si>
  <si>
    <t>Audruvis Champions Tour 2022 FINAL</t>
  </si>
  <si>
    <t>2022.08.5/7</t>
  </si>
  <si>
    <t>Audruvis Indoor Season Opening 2022</t>
  </si>
  <si>
    <t>2022.09.23/25</t>
  </si>
  <si>
    <t>Aleksiejus Timofejevas</t>
  </si>
  <si>
    <t>Navickų taurė 2022</t>
  </si>
  <si>
    <t>2022.06.11</t>
  </si>
  <si>
    <t>Justina Rečiūnaitė</t>
  </si>
  <si>
    <t>Gediminas Paškevičius</t>
  </si>
  <si>
    <t>Jusaičių taurė 2022</t>
  </si>
  <si>
    <t>2022.06.24</t>
  </si>
  <si>
    <t>Lietuvos taurė 2022</t>
  </si>
  <si>
    <t>2022.05.06/08</t>
  </si>
  <si>
    <t>Palanga Beach Horse Show 2022</t>
  </si>
  <si>
    <t>2022.09.10</t>
  </si>
  <si>
    <t>Gabriele Bauzaite</t>
  </si>
  <si>
    <t>Viktoras Pocius</t>
  </si>
  <si>
    <t>Gaudenė Janavičiūtė</t>
  </si>
  <si>
    <t>Atviras Lietuvos konkūrų čempionatas 2022</t>
  </si>
  <si>
    <t>2022.06.30/07.03</t>
  </si>
  <si>
    <t>Kristupas PetraitisSporto Klubas Audruvis</t>
  </si>
  <si>
    <t>Gabriele BaužaitėSporto klubas Mustangas</t>
  </si>
  <si>
    <t>Matas PetraitisSporto Klubas Audruvis</t>
  </si>
  <si>
    <t>Vincas CivinskasS\K "Civinskų žirgai"</t>
  </si>
  <si>
    <t>Nerijus ŠipailaNSO Sport Horses</t>
  </si>
  <si>
    <t>Zigmantas ŠarkaSporto klubas Mustangas</t>
  </si>
  <si>
    <t>Danielius GutkauskasD.G Horses</t>
  </si>
  <si>
    <t>Ignas MakarauskasHobby Horse</t>
  </si>
  <si>
    <t>Valdemaras ŽukauskasŽŪB Vilniaus žirgynas</t>
  </si>
  <si>
    <t>Irmantas GrikienisKauno rajono dziudo ir jojimo sporto mokykla</t>
  </si>
  <si>
    <t>Andrius PetrovasAndrius Petrovas Team</t>
  </si>
  <si>
    <t>Kostas GaigalasUAB "Lietuvos žirgynas"</t>
  </si>
  <si>
    <t>Laura MartinavičiūtėEquus jojimo mokykla</t>
  </si>
  <si>
    <t>Aivaras BataitisTautinių žirgai</t>
  </si>
  <si>
    <t>Elena RailienėŽŪB Vilniaus žirgynas</t>
  </si>
  <si>
    <t xml:space="preserve"> </t>
  </si>
  <si>
    <t>*4</t>
  </si>
  <si>
    <t>Gabriele Baužaitė</t>
  </si>
  <si>
    <t>Aleksejus Timofejevas</t>
  </si>
  <si>
    <t>FEI Jumping World Cup Vazgaikiemis</t>
  </si>
  <si>
    <t>2022.08.31/09.04</t>
  </si>
  <si>
    <t>Vincas Civinskas Jr</t>
  </si>
  <si>
    <t>Nerijus Sipaila</t>
  </si>
  <si>
    <t>CSI2*</t>
  </si>
  <si>
    <t>FEI Jumping World Cup Kunkiai</t>
  </si>
  <si>
    <t>2022.08.24/28</t>
  </si>
  <si>
    <t>FEI Jumping World Cup Vazgaikiemis - CSI1*, CSI2*, CSIYH1*</t>
  </si>
  <si>
    <t>FEI Jumping World Cup Kunkiai - CSI1*, CSI2*, CSIYH1*</t>
  </si>
  <si>
    <t>CSIYH1*</t>
  </si>
  <si>
    <t>130-135</t>
  </si>
  <si>
    <t>2022.03.15/20</t>
  </si>
  <si>
    <t>Bonheiden (BEL) - CSI2*</t>
  </si>
  <si>
    <t>2022.03.24/04.03</t>
  </si>
  <si>
    <t>Leipzig (GER) - CSI-W Final, CSIYH1*</t>
  </si>
  <si>
    <t>2022.04.06/10</t>
  </si>
  <si>
    <t>*7,5</t>
  </si>
  <si>
    <t>CSI-W Final</t>
  </si>
  <si>
    <t xml:space="preserve"> Zielona Gora (POL) - CSI2*</t>
  </si>
  <si>
    <t>2022.04.21/24</t>
  </si>
  <si>
    <t>Boguslawice (POL) - CSI2*</t>
  </si>
  <si>
    <t>2022.04.28/05.01</t>
  </si>
  <si>
    <t>Opglabbeek (BEL) - CSI2*</t>
  </si>
  <si>
    <t>2022.04.28/05.08</t>
  </si>
  <si>
    <t>Samorin (SVK) - CSI2*-W, CSI1*</t>
  </si>
  <si>
    <t>2022.05.12/15</t>
  </si>
  <si>
    <t>Uggerhalne (DEN) - CSIO3*-NC EEF RQ, CSI2*</t>
  </si>
  <si>
    <t>2022.05.18/22</t>
  </si>
  <si>
    <t>CSIO3*</t>
  </si>
  <si>
    <t>Olsza (POL) - CSI2*</t>
  </si>
  <si>
    <t>2022.05.19/22</t>
  </si>
  <si>
    <t>Wohlde (GER) - CSI2*</t>
  </si>
  <si>
    <t>2022.06.01/04</t>
  </si>
  <si>
    <t>Parnu (EST) - CSI2*</t>
  </si>
  <si>
    <t>2022.06.02/05</t>
  </si>
  <si>
    <t>Mullingar (IRL) - CSI2*</t>
  </si>
  <si>
    <t>2022.06.04/06</t>
  </si>
  <si>
    <t>Drammen (NOR) - CSIO3*, CSI1*</t>
  </si>
  <si>
    <t>2022.06.09/12</t>
  </si>
  <si>
    <t>2022.06.16/19</t>
  </si>
  <si>
    <t>CSI4*</t>
  </si>
  <si>
    <t>Poznan Wola (POL) - CSI1*, CSI4*</t>
  </si>
  <si>
    <t>Deauville (FRA) - CSIO3*</t>
  </si>
  <si>
    <t>2022.06.22/26</t>
  </si>
  <si>
    <t>Zuidwolde (NED) - CSI2*</t>
  </si>
  <si>
    <t>2022.07.13/17</t>
  </si>
  <si>
    <t>Samorin (SVK) - CSI3*</t>
  </si>
  <si>
    <t>2022.07.14/17</t>
  </si>
  <si>
    <t>Biskupiec (POL) - CSI2*, CSIYH1*, CSI1*</t>
  </si>
  <si>
    <t>Biskupiec (POL) - CSI2*, CSIYH1*</t>
  </si>
  <si>
    <t>2022.07.21/24</t>
  </si>
  <si>
    <t>Riga (LAT) - CSI2*</t>
  </si>
  <si>
    <t>Herning (DEN) - CSI2*, CSI3*</t>
  </si>
  <si>
    <t>2022.08.05/08</t>
  </si>
  <si>
    <t>Hjallerup (DEN) - CSI2*</t>
  </si>
  <si>
    <t>Kronenberg (NED) - CSI1*, CSI2*</t>
  </si>
  <si>
    <t>2022.09.07/10</t>
  </si>
  <si>
    <t>Kronenberg (NED) - CSI2*</t>
  </si>
  <si>
    <t>Warsaw (POL) - CSIO4*</t>
  </si>
  <si>
    <t>2022.09.08/11</t>
  </si>
  <si>
    <t>Samorin (SVK) - CSI3*, CSI1*</t>
  </si>
  <si>
    <t>2022.09.14/18</t>
  </si>
  <si>
    <t>Tallin (EST) - CSI2*, CSIYH1*</t>
  </si>
  <si>
    <t>2022.09.30/10.02</t>
  </si>
  <si>
    <t>Augustas Čepelė</t>
  </si>
  <si>
    <t>Agnė Zenkevičiūtė</t>
  </si>
  <si>
    <t>Rojus Brazaitis</t>
  </si>
  <si>
    <t>Erika Šarkelytė</t>
  </si>
  <si>
    <t>Ieva Šližytė</t>
  </si>
  <si>
    <t>Viktorija Šleikinaite</t>
  </si>
  <si>
    <t>Augustas Cepele</t>
  </si>
  <si>
    <t>Marija Švabaite</t>
  </si>
  <si>
    <t>Milda Lukštinskaite</t>
  </si>
  <si>
    <t>Milica Kalinina</t>
  </si>
  <si>
    <t>Karolina Tumenaite</t>
  </si>
  <si>
    <t>Meda Bucinskaite</t>
  </si>
  <si>
    <t>Toma Urbanovic</t>
  </si>
  <si>
    <t>Ernesta Valaitiene</t>
  </si>
  <si>
    <t>Greta Vaitkeviciene</t>
  </si>
  <si>
    <t>Megan Miller</t>
  </si>
  <si>
    <t>Karolina Šimkute</t>
  </si>
  <si>
    <t>Tatjana Jankauskiene</t>
  </si>
  <si>
    <t>Daiva Buciene</t>
  </si>
  <si>
    <t>Laisvis Kilas</t>
  </si>
  <si>
    <t>Rūta Kriūkaitė</t>
  </si>
  <si>
    <t>Katrina Novikovaitė</t>
  </si>
  <si>
    <t>Gustė Kavaliauskaitė</t>
  </si>
  <si>
    <t>Emilė Navickaitė</t>
  </si>
  <si>
    <t>Marija Žemrietaitė</t>
  </si>
  <si>
    <t>Aistė Šulskytė</t>
  </si>
  <si>
    <t>Kristina Rekašienė</t>
  </si>
  <si>
    <t>Lijana Ežerskytė</t>
  </si>
  <si>
    <t>Tėja Lozoraitytė</t>
  </si>
  <si>
    <t>Gabija Barštytė</t>
  </si>
  <si>
    <t>Lietuvos konkūrų jojimo 2022m. Mėgėjų I gr. užskaitos reitingai</t>
  </si>
  <si>
    <t>Giedrius Babrauskas</t>
  </si>
  <si>
    <t>Ona Jasinskaite</t>
  </si>
  <si>
    <t>Ovidijus Sova</t>
  </si>
  <si>
    <t>Paulina Makauskaitė</t>
  </si>
  <si>
    <t>Sandra Tamkevičiūtė</t>
  </si>
  <si>
    <t>Roberta Tarasevičiutė-Birbalienė</t>
  </si>
  <si>
    <t>Dija Mažeikytė</t>
  </si>
  <si>
    <t>Laura Venskutonytė</t>
  </si>
  <si>
    <t>Samanta Sporychina</t>
  </si>
  <si>
    <t>Bartas Pocius</t>
  </si>
  <si>
    <t>Aušra Švaikauskaite</t>
  </si>
  <si>
    <t>Beatričė Eigminaitė</t>
  </si>
  <si>
    <t>Monika Grybienė</t>
  </si>
  <si>
    <t>Rita Matuziene</t>
  </si>
  <si>
    <t>Lietuvos konkūrų jojimo 2022m. Mėgėjų II gr. užskaitos reitingai</t>
  </si>
  <si>
    <t>Elena Makarauskenė</t>
  </si>
  <si>
    <t>Lietuvos konkūrų jojimo 2022m. Mėgėjų III gr. užskaitos reitingai</t>
  </si>
  <si>
    <t>Gabriele Stasiulionyte</t>
  </si>
  <si>
    <t>Rutenis Zakarevicius</t>
  </si>
  <si>
    <t xml:space="preserve">Lietuvos raitelių jojančių poni klasės žirgais, konkūrų reitingų lentelė 2022 m.            </t>
  </si>
  <si>
    <t>Lietuvos konkūrų jojimo 2022m. Vaikų (iki 14 m.) užskaitos reitingai</t>
  </si>
  <si>
    <t>Leja Balandyte</t>
  </si>
  <si>
    <t>Eliza Šiškute</t>
  </si>
  <si>
    <t>Guste Jureviciute</t>
  </si>
  <si>
    <t>Liepa Šiurnaite</t>
  </si>
  <si>
    <t>Guoda Zagorskaite</t>
  </si>
  <si>
    <t>Ariana Adomaityte</t>
  </si>
  <si>
    <t>Ruta Sutnikaite</t>
  </si>
  <si>
    <t>Aura Staškeviciute</t>
  </si>
  <si>
    <t>Auste Latkauskaite</t>
  </si>
  <si>
    <t>Emilija Zaikauskaite</t>
  </si>
  <si>
    <t>June Šapkauskaite</t>
  </si>
  <si>
    <t>Anete Žukauskaite</t>
  </si>
  <si>
    <t>Jura Albrechtaite</t>
  </si>
  <si>
    <t>Leja Nakvosaite</t>
  </si>
  <si>
    <t>Auguste Baužaite</t>
  </si>
  <si>
    <t>Dominyka Silevičiutė</t>
  </si>
  <si>
    <t>Palangos Pavasario taurė 2022</t>
  </si>
  <si>
    <t>2022.04.23</t>
  </si>
  <si>
    <t>Gintė Paulaitytė</t>
  </si>
  <si>
    <t>Liepa Valantinavičiūtė</t>
  </si>
  <si>
    <t>Rūta Pilipavičiūtė</t>
  </si>
  <si>
    <t>Jogailė Kvedaraitė</t>
  </si>
  <si>
    <t>Samanta Budrytė</t>
  </si>
  <si>
    <t>Vytautė Kvedaraitė</t>
  </si>
  <si>
    <t>Rugilė Reinikytė</t>
  </si>
  <si>
    <t>Gerda Stankutė</t>
  </si>
  <si>
    <t>Aja Mikulevič</t>
  </si>
  <si>
    <t>Augustė Komičiūtė</t>
  </si>
  <si>
    <t>Adas Imbrasas</t>
  </si>
  <si>
    <t>Marta Talačkaitė</t>
  </si>
  <si>
    <t>Patricija Varžaitė</t>
  </si>
  <si>
    <t>Ana Marija Gansauskaitė</t>
  </si>
  <si>
    <t>IV Kwalifikacje XI HPWiM (POL)</t>
  </si>
  <si>
    <t>2022.01.15/16</t>
  </si>
  <si>
    <t>Ieva Gaidelytė</t>
  </si>
  <si>
    <t>V Kwalifikacje XI HPWiM</t>
  </si>
  <si>
    <t>Vaiva Jurginytė</t>
  </si>
  <si>
    <t>Finał XI Edycji HPWiM</t>
  </si>
  <si>
    <t>Daniela Aniskovič</t>
  </si>
  <si>
    <t>Adelė Krivcovaitė</t>
  </si>
  <si>
    <t>2022.04.02/03</t>
  </si>
  <si>
    <t xml:space="preserve">Olsza (POL) </t>
  </si>
  <si>
    <t>Copenhagen (DEN)</t>
  </si>
  <si>
    <t>Hagen (GER)</t>
  </si>
  <si>
    <t>2022.06.14/19</t>
  </si>
  <si>
    <t>Lier (BEL)</t>
  </si>
  <si>
    <t>2022.04.15/17</t>
  </si>
  <si>
    <t>Zduchovice (CZE)</t>
  </si>
  <si>
    <t>2022.04.20/24</t>
  </si>
  <si>
    <t>Lamprechtshausen (AUT)</t>
  </si>
  <si>
    <t>2022.05.05/08</t>
  </si>
  <si>
    <t>Beatričė Endzinaitė</t>
  </si>
  <si>
    <t>Saulė Jaudženytė</t>
  </si>
  <si>
    <t>Mileta Butkutė</t>
  </si>
  <si>
    <t>Agota Viršilaitė</t>
  </si>
  <si>
    <t>Tija Valaitytė</t>
  </si>
  <si>
    <t>Amadėja Zubaitė</t>
  </si>
  <si>
    <t>Ieva Rudytė</t>
  </si>
  <si>
    <t>Gabija Jaremčiukaitė</t>
  </si>
  <si>
    <t>Ula Mažeikytė</t>
  </si>
  <si>
    <t>Eva Miliūnaitė</t>
  </si>
  <si>
    <t>Emilija Zaikauskaitė</t>
  </si>
  <si>
    <t>Dominyka Silevičiūtė</t>
  </si>
  <si>
    <t>Lietuvos jaunių konkūrų reitingų lentelė 2022 m.</t>
  </si>
  <si>
    <t xml:space="preserve">Lietuvos jaunimo (iki 21m.) grupės konkūrų reitingų lentelė 2022 m. </t>
  </si>
  <si>
    <t>Wroclaw, Partynice (POL) - CSI1*, CSI2*</t>
  </si>
  <si>
    <t>2022.10.06/09</t>
  </si>
  <si>
    <t>Michalowice (POL) - CSI1*, CSI2*, CSIYH1*</t>
  </si>
  <si>
    <t>2022.10.20/23</t>
  </si>
  <si>
    <t>2022.10.28/30</t>
  </si>
  <si>
    <t>Audruvis Champions Tour 2022 INDOOR- Ist stage</t>
  </si>
  <si>
    <t>Aistė Nefedjevaitė</t>
  </si>
  <si>
    <t>Trojus Rimkevicius</t>
  </si>
  <si>
    <t>Audruvis Champions Tour 2022 INDOOR- IInd stage</t>
  </si>
  <si>
    <t>135-140</t>
  </si>
  <si>
    <t>Cavaliada (POL) - CSI1*, CSI2*</t>
  </si>
  <si>
    <t>2022.11.10/13</t>
  </si>
  <si>
    <t>2022.11.18/20</t>
  </si>
  <si>
    <t>Warsaw (POL) - CSI1*, CSI2*</t>
  </si>
  <si>
    <t>2022.12.15/18</t>
  </si>
  <si>
    <t>Poznan (POL) - CSI3*, CSI1*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</si>
</sst>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#,##0\ &quot;€&quot;;[Red]\-#,##0\ &quot;€&quot;"/>
  </numFmts>
  <fonts count="26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2"/>
      <name val="Tahoma"/>
      <family val="2"/>
      <charset val="186"/>
    </font>
    <font>
      <b/>
      <sz val="8"/>
      <name val="Tahoma"/>
      <family val="2"/>
      <charset val="186"/>
    </font>
    <font>
      <sz val="8"/>
      <name val="Tahoma"/>
      <family val="2"/>
      <charset val="186"/>
    </font>
    <font>
      <b/>
      <sz val="10"/>
      <name val="Tahoma"/>
      <family val="2"/>
      <charset val="186"/>
    </font>
    <font>
      <sz val="12"/>
      <name val="Tahoma"/>
      <family val="2"/>
      <charset val="186"/>
    </font>
    <font>
      <b/>
      <sz val="8"/>
      <name val="Tahoma"/>
      <family val="2"/>
    </font>
    <font>
      <sz val="9"/>
      <name val="Tahoma"/>
      <family val="2"/>
      <charset val="186"/>
    </font>
    <font>
      <b/>
      <sz val="9"/>
      <name val="Tahoma"/>
      <family val="2"/>
      <charset val="186"/>
    </font>
    <font>
      <sz val="10"/>
      <name val="Tahoma"/>
      <family val="2"/>
      <charset val="186"/>
    </font>
    <font>
      <sz val="10"/>
      <color theme="1"/>
      <name val="Tahoma"/>
      <family val="2"/>
      <charset val="186"/>
    </font>
    <font>
      <sz val="11"/>
      <color theme="9" tint="-0.499984740745262"/>
      <name val="Calibri"/>
      <family val="2"/>
      <charset val="186"/>
      <scheme val="minor"/>
    </font>
    <font>
      <b/>
      <sz val="8"/>
      <color theme="9" tint="-0.499984740745262"/>
      <name val="Tahoma"/>
      <family val="2"/>
      <charset val="186"/>
    </font>
    <font>
      <b/>
      <i/>
      <sz val="11"/>
      <color theme="1"/>
      <name val="Calibri"/>
      <family val="2"/>
      <charset val="186"/>
      <scheme val="minor"/>
    </font>
    <font>
      <b/>
      <sz val="9"/>
      <name val="Calibri"/>
      <family val="2"/>
      <charset val="186"/>
      <scheme val="minor"/>
    </font>
    <font>
      <b/>
      <sz val="9"/>
      <color theme="9" tint="-0.499984740745262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8"/>
      <color theme="1"/>
      <name val="Tahoma"/>
      <family val="2"/>
      <charset val="186"/>
    </font>
    <font>
      <b/>
      <sz val="8"/>
      <color theme="4" tint="-0.249977111117893"/>
      <name val="Tahoma"/>
      <family val="2"/>
      <charset val="186"/>
    </font>
    <font>
      <sz val="11"/>
      <color theme="4" tint="-0.249977111117893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9"/>
      <color theme="1"/>
      <name val="Tahoma"/>
      <family val="2"/>
      <charset val="186"/>
    </font>
    <font>
      <sz val="11"/>
      <color theme="9" tint="-0.249977111117893"/>
      <name val="Calibri"/>
      <family val="2"/>
      <charset val="186"/>
      <scheme val="minor"/>
    </font>
    <font>
      <b/>
      <i/>
      <sz val="11"/>
      <color theme="9" tint="-0.249977111117893"/>
      <name val="Calibri"/>
      <family val="2"/>
      <charset val="186"/>
      <scheme val="minor"/>
    </font>
    <font>
      <b/>
      <i/>
      <sz val="11"/>
      <name val="Calibri"/>
      <family val="2"/>
      <charset val="186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76">
    <xf numFmtId="0" fontId="0" fillId="0" borderId="0" xfId="0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4" xfId="1" applyFont="1" applyBorder="1" applyAlignment="1">
      <alignment horizontal="center" wrapText="1"/>
    </xf>
    <xf numFmtId="0" fontId="3" fillId="0" borderId="5" xfId="1" applyFont="1" applyBorder="1" applyAlignment="1">
      <alignment horizontal="center" wrapText="1"/>
    </xf>
    <xf numFmtId="0" fontId="3" fillId="0" borderId="6" xfId="1" applyFont="1" applyBorder="1" applyAlignment="1">
      <alignment horizontal="center" wrapText="1"/>
    </xf>
    <xf numFmtId="0" fontId="3" fillId="0" borderId="7" xfId="1" applyFont="1" applyBorder="1" applyAlignment="1">
      <alignment horizontal="center" wrapText="1"/>
    </xf>
    <xf numFmtId="0" fontId="3" fillId="0" borderId="8" xfId="1" applyFont="1" applyBorder="1" applyAlignment="1">
      <alignment horizontal="center" wrapText="1"/>
    </xf>
    <xf numFmtId="0" fontId="3" fillId="2" borderId="9" xfId="1" applyFont="1" applyFill="1" applyBorder="1" applyAlignment="1">
      <alignment horizontal="center" wrapText="1"/>
    </xf>
    <xf numFmtId="0" fontId="4" fillId="2" borderId="5" xfId="1" applyFont="1" applyFill="1" applyBorder="1" applyAlignment="1">
      <alignment horizontal="center" wrapText="1"/>
    </xf>
    <xf numFmtId="0" fontId="4" fillId="2" borderId="6" xfId="1" applyFont="1" applyFill="1" applyBorder="1" applyAlignment="1">
      <alignment horizontal="center" wrapText="1"/>
    </xf>
    <xf numFmtId="0" fontId="4" fillId="2" borderId="10" xfId="1" applyFont="1" applyFill="1" applyBorder="1" applyAlignment="1">
      <alignment horizontal="center" wrapText="1"/>
    </xf>
    <xf numFmtId="0" fontId="4" fillId="2" borderId="11" xfId="1" applyFont="1" applyFill="1" applyBorder="1" applyAlignment="1">
      <alignment horizontal="center" wrapText="1"/>
    </xf>
    <xf numFmtId="0" fontId="4" fillId="2" borderId="12" xfId="1" applyFont="1" applyFill="1" applyBorder="1" applyAlignment="1">
      <alignment horizontal="center" wrapText="1"/>
    </xf>
    <xf numFmtId="0" fontId="0" fillId="0" borderId="3" xfId="0" applyBorder="1"/>
    <xf numFmtId="0" fontId="0" fillId="0" borderId="13" xfId="0" applyBorder="1"/>
    <xf numFmtId="0" fontId="0" fillId="0" borderId="14" xfId="0" applyBorder="1"/>
    <xf numFmtId="0" fontId="4" fillId="0" borderId="6" xfId="1" applyFont="1" applyBorder="1" applyAlignment="1">
      <alignment horizontal="center" wrapText="1"/>
    </xf>
    <xf numFmtId="0" fontId="4" fillId="0" borderId="5" xfId="1" applyFont="1" applyBorder="1" applyAlignment="1">
      <alignment horizontal="center" wrapText="1"/>
    </xf>
    <xf numFmtId="0" fontId="0" fillId="0" borderId="1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4" fillId="0" borderId="0" xfId="0" applyFont="1"/>
    <xf numFmtId="0" fontId="2" fillId="0" borderId="0" xfId="0" applyFont="1"/>
    <xf numFmtId="0" fontId="6" fillId="0" borderId="0" xfId="0" applyFont="1"/>
    <xf numFmtId="0" fontId="3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/>
    </xf>
    <xf numFmtId="0" fontId="4" fillId="0" borderId="25" xfId="0" applyFont="1" applyBorder="1"/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8" xfId="0" applyFont="1" applyBorder="1"/>
    <xf numFmtId="0" fontId="4" fillId="0" borderId="28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wrapText="1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3" borderId="13" xfId="0" applyFont="1" applyFill="1" applyBorder="1"/>
    <xf numFmtId="0" fontId="3" fillId="3" borderId="14" xfId="0" applyFont="1" applyFill="1" applyBorder="1"/>
    <xf numFmtId="0" fontId="3" fillId="3" borderId="11" xfId="0" applyFont="1" applyFill="1" applyBorder="1" applyAlignment="1">
      <alignment horizontal="center"/>
    </xf>
    <xf numFmtId="0" fontId="4" fillId="0" borderId="25" xfId="0" applyFont="1" applyBorder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/>
    <xf numFmtId="0" fontId="4" fillId="0" borderId="33" xfId="0" applyFont="1" applyBorder="1" applyAlignment="1">
      <alignment horizontal="center"/>
    </xf>
    <xf numFmtId="0" fontId="4" fillId="0" borderId="34" xfId="0" applyFont="1" applyBorder="1"/>
    <xf numFmtId="0" fontId="4" fillId="0" borderId="35" xfId="0" applyFont="1" applyBorder="1" applyAlignment="1">
      <alignment horizontal="center"/>
    </xf>
    <xf numFmtId="0" fontId="3" fillId="0" borderId="0" xfId="0" applyFont="1"/>
    <xf numFmtId="0" fontId="1" fillId="0" borderId="0" xfId="0" applyFont="1"/>
    <xf numFmtId="0" fontId="0" fillId="0" borderId="0" xfId="0" applyAlignment="1">
      <alignment horizontal="center" vertical="center"/>
    </xf>
    <xf numFmtId="0" fontId="0" fillId="4" borderId="43" xfId="0" applyFill="1" applyBorder="1" applyAlignment="1">
      <alignment horizontal="center" vertical="center"/>
    </xf>
    <xf numFmtId="0" fontId="3" fillId="0" borderId="15" xfId="3" applyFont="1" applyBorder="1" applyAlignment="1">
      <alignment horizontal="center" vertical="center"/>
    </xf>
    <xf numFmtId="0" fontId="0" fillId="0" borderId="28" xfId="0" applyBorder="1"/>
    <xf numFmtId="0" fontId="12" fillId="0" borderId="39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/>
    </xf>
    <xf numFmtId="0" fontId="15" fillId="0" borderId="15" xfId="3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/>
    <xf numFmtId="0" fontId="13" fillId="0" borderId="44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/>
    </xf>
    <xf numFmtId="0" fontId="12" fillId="0" borderId="46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2" fillId="0" borderId="27" xfId="0" applyFont="1" applyFill="1" applyBorder="1" applyAlignment="1">
      <alignment horizontal="center" vertical="center"/>
    </xf>
    <xf numFmtId="0" fontId="12" fillId="0" borderId="31" xfId="0" applyFont="1" applyBorder="1" applyAlignment="1">
      <alignment horizontal="center"/>
    </xf>
    <xf numFmtId="0" fontId="0" fillId="0" borderId="28" xfId="0" applyFill="1" applyBorder="1" applyAlignment="1"/>
    <xf numFmtId="0" fontId="12" fillId="0" borderId="28" xfId="0" applyFont="1" applyFill="1" applyBorder="1" applyAlignment="1">
      <alignment horizontal="center"/>
    </xf>
    <xf numFmtId="0" fontId="14" fillId="0" borderId="0" xfId="0" applyFont="1"/>
    <xf numFmtId="0" fontId="20" fillId="0" borderId="28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0" fillId="0" borderId="34" xfId="0" applyBorder="1"/>
    <xf numFmtId="0" fontId="12" fillId="0" borderId="34" xfId="0" applyFont="1" applyBorder="1" applyAlignment="1">
      <alignment horizontal="center"/>
    </xf>
    <xf numFmtId="0" fontId="12" fillId="0" borderId="34" xfId="0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21" fillId="7" borderId="43" xfId="0" applyFont="1" applyFill="1" applyBorder="1" applyAlignment="1">
      <alignment horizontal="center"/>
    </xf>
    <xf numFmtId="0" fontId="19" fillId="0" borderId="44" xfId="2" applyFont="1" applyBorder="1" applyAlignment="1">
      <alignment horizontal="center" vertical="center"/>
    </xf>
    <xf numFmtId="0" fontId="14" fillId="0" borderId="60" xfId="0" applyFont="1" applyBorder="1" applyAlignment="1">
      <alignment horizontal="center"/>
    </xf>
    <xf numFmtId="0" fontId="0" fillId="0" borderId="0" xfId="0" applyAlignment="1">
      <alignment horizontal="center"/>
    </xf>
    <xf numFmtId="0" fontId="20" fillId="0" borderId="39" xfId="0" applyFont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20" fillId="0" borderId="40" xfId="0" applyFont="1" applyBorder="1" applyAlignment="1">
      <alignment horizontal="center"/>
    </xf>
    <xf numFmtId="0" fontId="20" fillId="0" borderId="36" xfId="0" applyFont="1" applyBorder="1" applyAlignment="1">
      <alignment horizontal="center"/>
    </xf>
    <xf numFmtId="0" fontId="14" fillId="0" borderId="62" xfId="0" applyFont="1" applyBorder="1" applyAlignment="1">
      <alignment horizontal="center"/>
    </xf>
    <xf numFmtId="0" fontId="20" fillId="0" borderId="40" xfId="0" applyFont="1" applyBorder="1" applyAlignment="1">
      <alignment horizontal="center" vertical="center"/>
    </xf>
    <xf numFmtId="0" fontId="9" fillId="6" borderId="15" xfId="0" applyFont="1" applyFill="1" applyBorder="1" applyAlignment="1">
      <alignment horizontal="center" vertical="center"/>
    </xf>
    <xf numFmtId="0" fontId="14" fillId="0" borderId="60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3" fillId="6" borderId="15" xfId="0" applyFont="1" applyFill="1" applyBorder="1" applyAlignment="1">
      <alignment horizontal="center" vertical="center"/>
    </xf>
    <xf numFmtId="0" fontId="17" fillId="0" borderId="60" xfId="0" applyFont="1" applyBorder="1" applyAlignment="1">
      <alignment horizontal="center"/>
    </xf>
    <xf numFmtId="0" fontId="17" fillId="0" borderId="17" xfId="0" applyFont="1" applyBorder="1" applyAlignment="1">
      <alignment horizontal="center"/>
    </xf>
    <xf numFmtId="0" fontId="12" fillId="0" borderId="63" xfId="0" applyFont="1" applyFill="1" applyBorder="1" applyAlignment="1">
      <alignment horizontal="center" vertical="center"/>
    </xf>
    <xf numFmtId="0" fontId="14" fillId="0" borderId="0" xfId="0" applyFont="1" applyAlignment="1">
      <alignment horizontal="right"/>
    </xf>
    <xf numFmtId="0" fontId="17" fillId="0" borderId="60" xfId="0" applyFont="1" applyFill="1" applyBorder="1" applyAlignment="1">
      <alignment horizontal="center"/>
    </xf>
    <xf numFmtId="0" fontId="20" fillId="0" borderId="24" xfId="0" applyFont="1" applyFill="1" applyBorder="1" applyAlignment="1">
      <alignment horizontal="center"/>
    </xf>
    <xf numFmtId="0" fontId="20" fillId="0" borderId="27" xfId="0" applyFont="1" applyFill="1" applyBorder="1" applyAlignment="1">
      <alignment horizontal="center"/>
    </xf>
    <xf numFmtId="0" fontId="17" fillId="0" borderId="0" xfId="0" applyFont="1" applyAlignment="1">
      <alignment horizontal="center" vertical="center"/>
    </xf>
    <xf numFmtId="6" fontId="0" fillId="0" borderId="0" xfId="0" applyNumberFormat="1"/>
    <xf numFmtId="0" fontId="0" fillId="0" borderId="0" xfId="0" applyNumberFormat="1"/>
    <xf numFmtId="6" fontId="14" fillId="0" borderId="0" xfId="0" applyNumberFormat="1" applyFont="1"/>
    <xf numFmtId="0" fontId="14" fillId="0" borderId="0" xfId="0" applyNumberFormat="1" applyFont="1" applyAlignment="1">
      <alignment horizontal="center" vertical="center"/>
    </xf>
    <xf numFmtId="0" fontId="14" fillId="0" borderId="0" xfId="0" applyNumberFormat="1" applyFont="1"/>
    <xf numFmtId="0" fontId="12" fillId="0" borderId="42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14" fillId="0" borderId="64" xfId="0" applyFont="1" applyBorder="1" applyAlignment="1">
      <alignment horizontal="center"/>
    </xf>
    <xf numFmtId="0" fontId="20" fillId="0" borderId="34" xfId="0" applyFont="1" applyBorder="1" applyAlignment="1">
      <alignment horizontal="center"/>
    </xf>
    <xf numFmtId="0" fontId="20" fillId="0" borderId="48" xfId="0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2" fillId="0" borderId="33" xfId="0" applyFont="1" applyFill="1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17" fillId="0" borderId="61" xfId="0" applyFont="1" applyBorder="1" applyAlignment="1">
      <alignment horizontal="center" vertical="center"/>
    </xf>
    <xf numFmtId="0" fontId="17" fillId="0" borderId="62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/>
    </xf>
    <xf numFmtId="0" fontId="0" fillId="0" borderId="64" xfId="0" applyBorder="1"/>
    <xf numFmtId="0" fontId="0" fillId="0" borderId="61" xfId="0" applyBorder="1"/>
    <xf numFmtId="0" fontId="0" fillId="0" borderId="62" xfId="0" applyBorder="1"/>
    <xf numFmtId="0" fontId="12" fillId="0" borderId="50" xfId="0" applyFont="1" applyBorder="1" applyAlignment="1">
      <alignment horizontal="center"/>
    </xf>
    <xf numFmtId="0" fontId="0" fillId="4" borderId="15" xfId="0" applyFill="1" applyBorder="1" applyAlignment="1">
      <alignment horizontal="center" vertical="center"/>
    </xf>
    <xf numFmtId="0" fontId="12" fillId="0" borderId="60" xfId="0" applyFont="1" applyFill="1" applyBorder="1" applyAlignment="1">
      <alignment horizontal="center" vertical="center"/>
    </xf>
    <xf numFmtId="0" fontId="12" fillId="0" borderId="61" xfId="0" applyFont="1" applyFill="1" applyBorder="1" applyAlignment="1">
      <alignment horizontal="center" vertical="center"/>
    </xf>
    <xf numFmtId="0" fontId="12" fillId="0" borderId="62" xfId="0" applyFont="1" applyBorder="1" applyAlignment="1">
      <alignment horizontal="center"/>
    </xf>
    <xf numFmtId="0" fontId="13" fillId="0" borderId="53" xfId="0" applyFont="1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4" borderId="43" xfId="0" applyFill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0" fillId="7" borderId="15" xfId="0" applyFill="1" applyBorder="1" applyAlignment="1">
      <alignment horizontal="center" vertical="center"/>
    </xf>
    <xf numFmtId="0" fontId="17" fillId="0" borderId="0" xfId="0" applyFont="1"/>
    <xf numFmtId="0" fontId="12" fillId="0" borderId="42" xfId="0" applyFont="1" applyBorder="1" applyAlignment="1">
      <alignment horizontal="center"/>
    </xf>
    <xf numFmtId="0" fontId="22" fillId="6" borderId="3" xfId="0" applyFont="1" applyFill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9" fillId="0" borderId="45" xfId="0" applyFont="1" applyFill="1" applyBorder="1" applyAlignment="1">
      <alignment horizontal="center" vertical="center"/>
    </xf>
    <xf numFmtId="0" fontId="20" fillId="0" borderId="61" xfId="0" applyFont="1" applyBorder="1" applyAlignment="1">
      <alignment horizontal="center" vertical="center"/>
    </xf>
    <xf numFmtId="0" fontId="20" fillId="0" borderId="62" xfId="0" applyFont="1" applyBorder="1" applyAlignment="1">
      <alignment horizontal="center" vertical="center"/>
    </xf>
    <xf numFmtId="0" fontId="20" fillId="0" borderId="60" xfId="0" applyFont="1" applyBorder="1" applyAlignment="1">
      <alignment horizontal="center" vertical="center"/>
    </xf>
    <xf numFmtId="0" fontId="20" fillId="0" borderId="39" xfId="0" applyFont="1" applyBorder="1" applyAlignment="1">
      <alignment horizontal="center" vertical="center"/>
    </xf>
    <xf numFmtId="0" fontId="19" fillId="0" borderId="44" xfId="0" applyFont="1" applyFill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20" fillId="0" borderId="46" xfId="0" applyFont="1" applyBorder="1" applyAlignment="1">
      <alignment horizontal="center" vertical="center"/>
    </xf>
    <xf numFmtId="0" fontId="20" fillId="0" borderId="47" xfId="0" applyFont="1" applyBorder="1" applyAlignment="1">
      <alignment horizontal="center" vertical="center"/>
    </xf>
    <xf numFmtId="0" fontId="19" fillId="0" borderId="43" xfId="0" applyFont="1" applyFill="1" applyBorder="1" applyAlignment="1">
      <alignment horizontal="center" vertical="center"/>
    </xf>
    <xf numFmtId="0" fontId="12" fillId="0" borderId="46" xfId="0" applyFont="1" applyBorder="1" applyAlignment="1">
      <alignment horizontal="center"/>
    </xf>
    <xf numFmtId="0" fontId="12" fillId="0" borderId="27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12" fillId="0" borderId="29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/>
    </xf>
    <xf numFmtId="0" fontId="20" fillId="0" borderId="28" xfId="0" applyFont="1" applyFill="1" applyBorder="1" applyAlignment="1">
      <alignment horizontal="center"/>
    </xf>
    <xf numFmtId="0" fontId="0" fillId="0" borderId="69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0" fillId="0" borderId="38" xfId="0" applyFill="1" applyBorder="1" applyAlignment="1"/>
    <xf numFmtId="0" fontId="0" fillId="0" borderId="38" xfId="0" applyBorder="1"/>
    <xf numFmtId="0" fontId="0" fillId="0" borderId="61" xfId="0" applyFill="1" applyBorder="1" applyAlignment="1"/>
    <xf numFmtId="0" fontId="0" fillId="0" borderId="67" xfId="0" applyBorder="1" applyAlignment="1">
      <alignment horizontal="center" vertical="center"/>
    </xf>
    <xf numFmtId="0" fontId="0" fillId="0" borderId="50" xfId="0" applyBorder="1"/>
    <xf numFmtId="0" fontId="20" fillId="0" borderId="29" xfId="0" applyFont="1" applyFill="1" applyBorder="1" applyAlignment="1">
      <alignment horizontal="center"/>
    </xf>
    <xf numFmtId="0" fontId="20" fillId="0" borderId="27" xfId="0" applyFont="1" applyBorder="1" applyAlignment="1">
      <alignment horizontal="center"/>
    </xf>
    <xf numFmtId="0" fontId="20" fillId="0" borderId="29" xfId="0" applyFont="1" applyBorder="1" applyAlignment="1">
      <alignment horizontal="center"/>
    </xf>
    <xf numFmtId="0" fontId="20" fillId="0" borderId="33" xfId="0" applyFont="1" applyBorder="1" applyAlignment="1">
      <alignment horizontal="center"/>
    </xf>
    <xf numFmtId="0" fontId="20" fillId="0" borderId="35" xfId="0" applyFont="1" applyBorder="1" applyAlignment="1">
      <alignment horizontal="center"/>
    </xf>
    <xf numFmtId="0" fontId="0" fillId="0" borderId="62" xfId="0" applyFill="1" applyBorder="1" applyAlignment="1"/>
    <xf numFmtId="0" fontId="0" fillId="0" borderId="16" xfId="0" applyBorder="1" applyAlignment="1">
      <alignment horizontal="center" vertical="center"/>
    </xf>
    <xf numFmtId="0" fontId="20" fillId="0" borderId="40" xfId="0" applyFont="1" applyBorder="1"/>
    <xf numFmtId="0" fontId="20" fillId="0" borderId="31" xfId="0" applyFont="1" applyBorder="1" applyAlignment="1">
      <alignment horizontal="center"/>
    </xf>
    <xf numFmtId="0" fontId="20" fillId="0" borderId="27" xfId="0" applyFont="1" applyFill="1" applyBorder="1" applyAlignment="1">
      <alignment horizontal="center" vertical="center"/>
    </xf>
    <xf numFmtId="0" fontId="20" fillId="0" borderId="46" xfId="0" applyFont="1" applyFill="1" applyBorder="1" applyAlignment="1">
      <alignment horizontal="center"/>
    </xf>
    <xf numFmtId="0" fontId="19" fillId="0" borderId="53" xfId="2" applyFont="1" applyBorder="1" applyAlignment="1">
      <alignment horizontal="center" vertical="center"/>
    </xf>
    <xf numFmtId="0" fontId="20" fillId="0" borderId="42" xfId="0" applyFont="1" applyFill="1" applyBorder="1" applyAlignment="1">
      <alignment horizontal="center"/>
    </xf>
    <xf numFmtId="0" fontId="20" fillId="0" borderId="38" xfId="0" applyFont="1" applyBorder="1" applyAlignment="1">
      <alignment horizontal="center"/>
    </xf>
    <xf numFmtId="0" fontId="20" fillId="0" borderId="38" xfId="0" applyFont="1" applyBorder="1" applyAlignment="1">
      <alignment horizontal="center" vertical="center"/>
    </xf>
    <xf numFmtId="0" fontId="20" fillId="0" borderId="58" xfId="0" applyFont="1" applyBorder="1" applyAlignment="1">
      <alignment horizontal="center"/>
    </xf>
    <xf numFmtId="0" fontId="20" fillId="0" borderId="38" xfId="0" applyFont="1" applyFill="1" applyBorder="1" applyAlignment="1">
      <alignment horizontal="center"/>
    </xf>
    <xf numFmtId="0" fontId="13" fillId="0" borderId="1" xfId="3" applyFont="1" applyBorder="1" applyAlignment="1">
      <alignment horizontal="center" vertical="center"/>
    </xf>
    <xf numFmtId="0" fontId="0" fillId="0" borderId="27" xfId="0" applyBorder="1"/>
    <xf numFmtId="0" fontId="12" fillId="0" borderId="30" xfId="0" applyFont="1" applyBorder="1" applyAlignment="1">
      <alignment horizontal="center"/>
    </xf>
    <xf numFmtId="0" fontId="0" fillId="0" borderId="60" xfId="0" applyBorder="1"/>
    <xf numFmtId="0" fontId="0" fillId="0" borderId="61" xfId="0" applyFill="1" applyBorder="1"/>
    <xf numFmtId="0" fontId="0" fillId="0" borderId="20" xfId="0" applyBorder="1"/>
    <xf numFmtId="0" fontId="0" fillId="0" borderId="70" xfId="0" applyBorder="1"/>
    <xf numFmtId="0" fontId="0" fillId="0" borderId="62" xfId="0" applyFill="1" applyBorder="1"/>
    <xf numFmtId="0" fontId="20" fillId="0" borderId="36" xfId="0" applyFont="1" applyBorder="1" applyAlignment="1">
      <alignment horizontal="center" vertical="center"/>
    </xf>
    <xf numFmtId="0" fontId="3" fillId="0" borderId="15" xfId="3" applyFont="1" applyBorder="1" applyAlignment="1">
      <alignment horizontal="center" vertical="center" wrapText="1"/>
    </xf>
    <xf numFmtId="0" fontId="20" fillId="0" borderId="50" xfId="0" applyFont="1" applyBorder="1" applyAlignment="1">
      <alignment horizontal="center"/>
    </xf>
    <xf numFmtId="0" fontId="15" fillId="0" borderId="15" xfId="2" applyFont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23" fillId="0" borderId="39" xfId="0" applyFont="1" applyBorder="1" applyAlignment="1">
      <alignment horizontal="center"/>
    </xf>
    <xf numFmtId="0" fontId="23" fillId="0" borderId="28" xfId="0" applyFont="1" applyBorder="1" applyAlignment="1">
      <alignment horizontal="center"/>
    </xf>
    <xf numFmtId="0" fontId="23" fillId="0" borderId="28" xfId="0" applyFont="1" applyFill="1" applyBorder="1" applyAlignment="1">
      <alignment horizontal="center"/>
    </xf>
    <xf numFmtId="0" fontId="23" fillId="0" borderId="34" xfId="0" applyFont="1" applyBorder="1" applyAlignment="1">
      <alignment horizontal="center"/>
    </xf>
    <xf numFmtId="0" fontId="23" fillId="0" borderId="42" xfId="0" applyFont="1" applyBorder="1" applyAlignment="1">
      <alignment horizontal="center"/>
    </xf>
    <xf numFmtId="0" fontId="23" fillId="0" borderId="38" xfId="0" applyFont="1" applyBorder="1" applyAlignment="1">
      <alignment horizontal="center"/>
    </xf>
    <xf numFmtId="0" fontId="24" fillId="0" borderId="38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8" borderId="43" xfId="0" applyFill="1" applyBorder="1" applyAlignment="1">
      <alignment horizontal="center" vertical="center"/>
    </xf>
    <xf numFmtId="0" fontId="20" fillId="0" borderId="46" xfId="0" applyFont="1" applyFill="1" applyBorder="1" applyAlignment="1">
      <alignment horizontal="center" vertical="center"/>
    </xf>
    <xf numFmtId="0" fontId="19" fillId="0" borderId="4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2" fillId="0" borderId="60" xfId="0" applyFont="1" applyBorder="1" applyAlignment="1">
      <alignment horizontal="center"/>
    </xf>
    <xf numFmtId="0" fontId="12" fillId="0" borderId="61" xfId="0" applyFont="1" applyBorder="1" applyAlignment="1">
      <alignment horizontal="center"/>
    </xf>
    <xf numFmtId="0" fontId="20" fillId="0" borderId="24" xfId="0" applyFont="1" applyFill="1" applyBorder="1" applyAlignment="1">
      <alignment horizontal="center" vertical="center"/>
    </xf>
    <xf numFmtId="0" fontId="19" fillId="0" borderId="43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 vertical="center"/>
    </xf>
    <xf numFmtId="0" fontId="20" fillId="0" borderId="46" xfId="0" applyFont="1" applyBorder="1" applyAlignment="1">
      <alignment horizontal="center"/>
    </xf>
    <xf numFmtId="0" fontId="20" fillId="0" borderId="47" xfId="0" applyFont="1" applyBorder="1" applyAlignment="1">
      <alignment horizontal="center"/>
    </xf>
    <xf numFmtId="0" fontId="20" fillId="0" borderId="63" xfId="0" applyFont="1" applyFill="1" applyBorder="1" applyAlignment="1">
      <alignment horizontal="center" vertical="center"/>
    </xf>
    <xf numFmtId="0" fontId="14" fillId="0" borderId="64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horizontal="center" vertical="center"/>
    </xf>
    <xf numFmtId="0" fontId="14" fillId="0" borderId="17" xfId="0" applyFont="1" applyFill="1" applyBorder="1" applyAlignment="1">
      <alignment horizontal="center" vertical="center"/>
    </xf>
    <xf numFmtId="0" fontId="0" fillId="0" borderId="60" xfId="0" applyFill="1" applyBorder="1"/>
    <xf numFmtId="0" fontId="12" fillId="0" borderId="24" xfId="0" applyFont="1" applyFill="1" applyBorder="1" applyAlignment="1">
      <alignment horizontal="center" vertical="center"/>
    </xf>
    <xf numFmtId="0" fontId="0" fillId="4" borderId="43" xfId="0" applyFill="1" applyBorder="1" applyAlignment="1">
      <alignment horizontal="center" vertical="center"/>
    </xf>
    <xf numFmtId="0" fontId="17" fillId="0" borderId="61" xfId="0" applyFont="1" applyFill="1" applyBorder="1" applyAlignment="1">
      <alignment horizontal="center"/>
    </xf>
    <xf numFmtId="0" fontId="17" fillId="0" borderId="62" xfId="0" applyFont="1" applyFill="1" applyBorder="1" applyAlignment="1">
      <alignment horizontal="center"/>
    </xf>
    <xf numFmtId="0" fontId="14" fillId="0" borderId="61" xfId="0" applyFont="1" applyBorder="1" applyAlignment="1">
      <alignment horizontal="center"/>
    </xf>
    <xf numFmtId="0" fontId="13" fillId="0" borderId="3" xfId="3" applyFont="1" applyBorder="1" applyAlignment="1">
      <alignment horizontal="center" vertical="center"/>
    </xf>
    <xf numFmtId="0" fontId="12" fillId="0" borderId="47" xfId="0" applyFont="1" applyBorder="1" applyAlignment="1">
      <alignment horizontal="center" vertical="center"/>
    </xf>
    <xf numFmtId="0" fontId="20" fillId="0" borderId="58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/>
    </xf>
    <xf numFmtId="0" fontId="18" fillId="0" borderId="3" xfId="2" applyFont="1" applyBorder="1" applyAlignment="1">
      <alignment horizontal="center" vertical="center"/>
    </xf>
    <xf numFmtId="0" fontId="14" fillId="0" borderId="71" xfId="0" applyFont="1" applyBorder="1" applyAlignment="1">
      <alignment horizontal="center" vertical="center"/>
    </xf>
    <xf numFmtId="0" fontId="14" fillId="0" borderId="55" xfId="0" applyFont="1" applyBorder="1" applyAlignment="1">
      <alignment horizontal="center" vertical="center"/>
    </xf>
    <xf numFmtId="0" fontId="14" fillId="0" borderId="59" xfId="0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3" fillId="0" borderId="2" xfId="3" applyFont="1" applyBorder="1" applyAlignment="1">
      <alignment horizontal="center" vertical="center"/>
    </xf>
    <xf numFmtId="0" fontId="0" fillId="0" borderId="41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37" xfId="0" applyBorder="1"/>
    <xf numFmtId="0" fontId="0" fillId="0" borderId="37" xfId="0" applyFill="1" applyBorder="1" applyAlignment="1">
      <alignment horizontal="left" vertical="center"/>
    </xf>
    <xf numFmtId="0" fontId="0" fillId="0" borderId="49" xfId="0" applyBorder="1"/>
    <xf numFmtId="0" fontId="20" fillId="0" borderId="33" xfId="0" applyFont="1" applyFill="1" applyBorder="1" applyAlignment="1">
      <alignment horizontal="center"/>
    </xf>
    <xf numFmtId="0" fontId="25" fillId="0" borderId="0" xfId="0" applyFont="1" applyFill="1" applyBorder="1" applyAlignment="1"/>
    <xf numFmtId="0" fontId="20" fillId="0" borderId="33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23" fillId="0" borderId="42" xfId="0" applyFont="1" applyBorder="1" applyAlignment="1">
      <alignment horizontal="center" vertical="center"/>
    </xf>
    <xf numFmtId="0" fontId="23" fillId="0" borderId="39" xfId="0" applyFont="1" applyBorder="1" applyAlignment="1">
      <alignment horizontal="center" vertical="center"/>
    </xf>
    <xf numFmtId="0" fontId="23" fillId="0" borderId="38" xfId="0" applyFont="1" applyBorder="1" applyAlignment="1">
      <alignment horizontal="center" vertical="center"/>
    </xf>
    <xf numFmtId="0" fontId="23" fillId="0" borderId="28" xfId="0" applyFont="1" applyBorder="1" applyAlignment="1">
      <alignment horizontal="center" vertical="center"/>
    </xf>
    <xf numFmtId="0" fontId="23" fillId="0" borderId="28" xfId="0" applyFont="1" applyFill="1" applyBorder="1" applyAlignment="1">
      <alignment horizontal="center" vertical="center"/>
    </xf>
    <xf numFmtId="0" fontId="23" fillId="0" borderId="50" xfId="0" applyFont="1" applyBorder="1" applyAlignment="1">
      <alignment horizontal="center" vertical="center"/>
    </xf>
    <xf numFmtId="0" fontId="23" fillId="0" borderId="34" xfId="0" applyFont="1" applyBorder="1" applyAlignment="1">
      <alignment horizontal="center" vertical="center"/>
    </xf>
    <xf numFmtId="0" fontId="3" fillId="3" borderId="13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2" fillId="0" borderId="0" xfId="1" applyFont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21" fillId="0" borderId="34" xfId="0" applyFont="1" applyFill="1" applyBorder="1" applyAlignment="1">
      <alignment horizontal="center"/>
    </xf>
    <xf numFmtId="0" fontId="0" fillId="0" borderId="34" xfId="0" applyFill="1" applyBorder="1" applyAlignment="1">
      <alignment horizontal="center"/>
    </xf>
    <xf numFmtId="0" fontId="0" fillId="0" borderId="35" xfId="0" applyFill="1" applyBorder="1" applyAlignment="1">
      <alignment horizontal="center"/>
    </xf>
    <xf numFmtId="0" fontId="0" fillId="0" borderId="28" xfId="0" applyFill="1" applyBorder="1" applyAlignment="1">
      <alignment horizontal="center"/>
    </xf>
    <xf numFmtId="0" fontId="0" fillId="0" borderId="31" xfId="0" applyFill="1" applyBorder="1" applyAlignment="1">
      <alignment horizontal="center"/>
    </xf>
    <xf numFmtId="0" fontId="0" fillId="0" borderId="32" xfId="0" applyFill="1" applyBorder="1" applyAlignment="1">
      <alignment horizontal="center"/>
    </xf>
    <xf numFmtId="0" fontId="0" fillId="0" borderId="29" xfId="0" applyFill="1" applyBorder="1" applyAlignment="1">
      <alignment horizontal="center"/>
    </xf>
    <xf numFmtId="0" fontId="21" fillId="0" borderId="28" xfId="0" applyFont="1" applyFill="1" applyBorder="1" applyAlignment="1">
      <alignment horizontal="center"/>
    </xf>
    <xf numFmtId="0" fontId="21" fillId="0" borderId="29" xfId="0" applyFont="1" applyFill="1" applyBorder="1" applyAlignment="1">
      <alignment horizontal="center"/>
    </xf>
    <xf numFmtId="0" fontId="21" fillId="0" borderId="25" xfId="0" applyFont="1" applyFill="1" applyBorder="1" applyAlignment="1">
      <alignment horizontal="center"/>
    </xf>
    <xf numFmtId="0" fontId="21" fillId="0" borderId="26" xfId="0" applyFont="1" applyFill="1" applyBorder="1" applyAlignment="1">
      <alignment horizontal="center"/>
    </xf>
    <xf numFmtId="0" fontId="21" fillId="7" borderId="44" xfId="0" applyFont="1" applyFill="1" applyBorder="1" applyAlignment="1">
      <alignment horizontal="center"/>
    </xf>
    <xf numFmtId="0" fontId="21" fillId="7" borderId="45" xfId="0" applyFont="1" applyFill="1" applyBorder="1" applyAlignment="1">
      <alignment horizontal="center"/>
    </xf>
    <xf numFmtId="0" fontId="21" fillId="7" borderId="54" xfId="0" applyFont="1" applyFill="1" applyBorder="1" applyAlignment="1">
      <alignment horizontal="center"/>
    </xf>
    <xf numFmtId="0" fontId="21" fillId="7" borderId="2" xfId="0" applyFont="1" applyFill="1" applyBorder="1" applyAlignment="1">
      <alignment horizontal="center"/>
    </xf>
    <xf numFmtId="0" fontId="21" fillId="7" borderId="53" xfId="0" applyFont="1" applyFill="1" applyBorder="1" applyAlignment="1">
      <alignment horizontal="center"/>
    </xf>
    <xf numFmtId="0" fontId="0" fillId="0" borderId="40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0" fillId="0" borderId="42" xfId="0" applyFill="1" applyBorder="1" applyAlignment="1">
      <alignment horizontal="center"/>
    </xf>
    <xf numFmtId="0" fontId="21" fillId="0" borderId="36" xfId="0" applyFont="1" applyFill="1" applyBorder="1" applyAlignment="1">
      <alignment horizontal="center"/>
    </xf>
    <xf numFmtId="0" fontId="21" fillId="0" borderId="37" xfId="0" applyFont="1" applyFill="1" applyBorder="1" applyAlignment="1">
      <alignment horizontal="center"/>
    </xf>
    <xf numFmtId="0" fontId="21" fillId="0" borderId="38" xfId="0" applyFont="1" applyFill="1" applyBorder="1" applyAlignment="1">
      <alignment horizontal="center"/>
    </xf>
    <xf numFmtId="0" fontId="0" fillId="0" borderId="36" xfId="0" applyFill="1" applyBorder="1" applyAlignment="1">
      <alignment horizontal="center"/>
    </xf>
    <xf numFmtId="0" fontId="0" fillId="0" borderId="37" xfId="0" applyFill="1" applyBorder="1" applyAlignment="1">
      <alignment horizontal="center"/>
    </xf>
    <xf numFmtId="0" fontId="0" fillId="0" borderId="38" xfId="0" applyFill="1" applyBorder="1" applyAlignment="1">
      <alignment horizontal="center"/>
    </xf>
    <xf numFmtId="0" fontId="11" fillId="5" borderId="13" xfId="0" applyFont="1" applyFill="1" applyBorder="1" applyAlignment="1">
      <alignment horizontal="center" vertical="center" wrapText="1"/>
    </xf>
    <xf numFmtId="0" fontId="11" fillId="5" borderId="18" xfId="0" applyFont="1" applyFill="1" applyBorder="1" applyAlignment="1">
      <alignment horizontal="center" vertical="center" wrapText="1"/>
    </xf>
    <xf numFmtId="0" fontId="11" fillId="5" borderId="11" xfId="0" applyFont="1" applyFill="1" applyBorder="1" applyAlignment="1">
      <alignment horizontal="center" vertical="center" wrapText="1"/>
    </xf>
    <xf numFmtId="0" fontId="11" fillId="5" borderId="16" xfId="0" applyFont="1" applyFill="1" applyBorder="1" applyAlignment="1">
      <alignment horizontal="center" vertical="center" wrapText="1"/>
    </xf>
    <xf numFmtId="0" fontId="11" fillId="5" borderId="51" xfId="0" applyFont="1" applyFill="1" applyBorder="1" applyAlignment="1">
      <alignment horizontal="center" vertical="center" wrapText="1"/>
    </xf>
    <xf numFmtId="0" fontId="11" fillId="5" borderId="0" xfId="0" applyFont="1" applyFill="1" applyBorder="1" applyAlignment="1">
      <alignment horizontal="center" vertical="center" wrapText="1"/>
    </xf>
    <xf numFmtId="0" fontId="11" fillId="5" borderId="52" xfId="0" applyFont="1" applyFill="1" applyBorder="1" applyAlignment="1">
      <alignment horizontal="center" vertical="center" wrapText="1"/>
    </xf>
    <xf numFmtId="0" fontId="0" fillId="4" borderId="44" xfId="0" applyFill="1" applyBorder="1" applyAlignment="1">
      <alignment horizontal="center" vertical="center"/>
    </xf>
    <xf numFmtId="0" fontId="0" fillId="4" borderId="45" xfId="0" applyFill="1" applyBorder="1" applyAlignment="1">
      <alignment horizontal="center" vertical="center"/>
    </xf>
    <xf numFmtId="0" fontId="0" fillId="0" borderId="39" xfId="0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0" fontId="0" fillId="0" borderId="55" xfId="0" applyFill="1" applyBorder="1" applyAlignment="1">
      <alignment horizontal="center"/>
    </xf>
    <xf numFmtId="0" fontId="0" fillId="4" borderId="43" xfId="0" applyFill="1" applyBorder="1" applyAlignment="1">
      <alignment horizontal="center" vertical="center"/>
    </xf>
    <xf numFmtId="0" fontId="0" fillId="0" borderId="46" xfId="0" applyFill="1" applyBorder="1" applyAlignment="1">
      <alignment horizontal="center"/>
    </xf>
    <xf numFmtId="0" fontId="0" fillId="0" borderId="27" xfId="0" applyFill="1" applyBorder="1" applyAlignment="1">
      <alignment horizontal="center"/>
    </xf>
    <xf numFmtId="0" fontId="0" fillId="0" borderId="67" xfId="0" applyBorder="1" applyAlignment="1">
      <alignment horizontal="center"/>
    </xf>
    <xf numFmtId="0" fontId="0" fillId="0" borderId="59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7" borderId="43" xfId="0" applyFill="1" applyBorder="1" applyAlignment="1">
      <alignment horizontal="center" vertical="center"/>
    </xf>
    <xf numFmtId="0" fontId="0" fillId="7" borderId="45" xfId="0" applyFill="1" applyBorder="1" applyAlignment="1">
      <alignment horizontal="center" vertical="center"/>
    </xf>
    <xf numFmtId="0" fontId="0" fillId="0" borderId="68" xfId="0" applyBorder="1" applyAlignment="1">
      <alignment horizontal="center"/>
    </xf>
    <xf numFmtId="0" fontId="0" fillId="0" borderId="55" xfId="0" applyBorder="1" applyAlignment="1">
      <alignment horizontal="center"/>
    </xf>
    <xf numFmtId="0" fontId="10" fillId="5" borderId="13" xfId="0" applyFont="1" applyFill="1" applyBorder="1" applyAlignment="1">
      <alignment horizontal="center" vertical="center" wrapText="1"/>
    </xf>
    <xf numFmtId="0" fontId="10" fillId="5" borderId="18" xfId="0" applyFont="1" applyFill="1" applyBorder="1" applyAlignment="1">
      <alignment horizontal="center" vertical="center" wrapText="1"/>
    </xf>
    <xf numFmtId="0" fontId="10" fillId="5" borderId="11" xfId="0" applyFont="1" applyFill="1" applyBorder="1" applyAlignment="1">
      <alignment horizontal="center" vertical="center" wrapText="1"/>
    </xf>
    <xf numFmtId="0" fontId="10" fillId="5" borderId="19" xfId="0" applyFont="1" applyFill="1" applyBorder="1" applyAlignment="1">
      <alignment horizontal="center" vertical="center" wrapText="1"/>
    </xf>
    <xf numFmtId="0" fontId="10" fillId="5" borderId="0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0" fontId="10" fillId="5" borderId="16" xfId="0" applyFont="1" applyFill="1" applyBorder="1" applyAlignment="1">
      <alignment horizontal="center" vertical="center" wrapText="1"/>
    </xf>
    <xf numFmtId="0" fontId="10" fillId="5" borderId="51" xfId="0" applyFont="1" applyFill="1" applyBorder="1" applyAlignment="1">
      <alignment horizontal="center" vertical="center" wrapText="1"/>
    </xf>
    <xf numFmtId="0" fontId="10" fillId="5" borderId="52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42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65" xfId="0" applyFill="1" applyBorder="1" applyAlignment="1">
      <alignment horizontal="center"/>
    </xf>
    <xf numFmtId="0" fontId="0" fillId="4" borderId="53" xfId="0" applyFill="1" applyBorder="1" applyAlignment="1">
      <alignment horizontal="center" vertical="center"/>
    </xf>
    <xf numFmtId="0" fontId="0" fillId="4" borderId="54" xfId="0" applyFill="1" applyBorder="1" applyAlignment="1">
      <alignment horizontal="center" vertical="center"/>
    </xf>
    <xf numFmtId="0" fontId="0" fillId="7" borderId="53" xfId="0" applyFill="1" applyBorder="1" applyAlignment="1">
      <alignment horizontal="center" vertical="center"/>
    </xf>
    <xf numFmtId="0" fontId="0" fillId="7" borderId="44" xfId="0" applyFill="1" applyBorder="1" applyAlignment="1">
      <alignment horizontal="center" vertical="center"/>
    </xf>
    <xf numFmtId="0" fontId="0" fillId="7" borderId="54" xfId="0" applyFill="1" applyBorder="1" applyAlignment="1">
      <alignment horizontal="center" vertical="center"/>
    </xf>
    <xf numFmtId="0" fontId="0" fillId="0" borderId="3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48" xfId="0" applyFill="1" applyBorder="1" applyAlignment="1">
      <alignment horizontal="center"/>
    </xf>
    <xf numFmtId="0" fontId="0" fillId="0" borderId="49" xfId="0" applyFill="1" applyBorder="1" applyAlignment="1">
      <alignment horizontal="center"/>
    </xf>
    <xf numFmtId="0" fontId="0" fillId="0" borderId="50" xfId="0" applyFill="1" applyBorder="1" applyAlignment="1">
      <alignment horizontal="center"/>
    </xf>
    <xf numFmtId="0" fontId="0" fillId="0" borderId="59" xfId="0" applyFill="1" applyBorder="1" applyAlignment="1">
      <alignment horizontal="center"/>
    </xf>
    <xf numFmtId="0" fontId="0" fillId="0" borderId="56" xfId="0" applyFill="1" applyBorder="1" applyAlignment="1">
      <alignment horizontal="center"/>
    </xf>
    <xf numFmtId="0" fontId="0" fillId="0" borderId="57" xfId="0" applyFill="1" applyBorder="1" applyAlignment="1">
      <alignment horizontal="center"/>
    </xf>
    <xf numFmtId="0" fontId="0" fillId="4" borderId="3" xfId="0" applyFill="1" applyBorder="1" applyAlignment="1">
      <alignment horizontal="center" vertical="center"/>
    </xf>
    <xf numFmtId="0" fontId="8" fillId="5" borderId="13" xfId="0" applyFont="1" applyFill="1" applyBorder="1" applyAlignment="1">
      <alignment horizontal="center" vertical="center" wrapText="1"/>
    </xf>
    <xf numFmtId="0" fontId="8" fillId="5" borderId="18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5" borderId="19" xfId="0" applyFont="1" applyFill="1" applyBorder="1" applyAlignment="1">
      <alignment horizontal="center" vertical="center" wrapText="1"/>
    </xf>
    <xf numFmtId="0" fontId="8" fillId="5" borderId="0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0" fillId="8" borderId="44" xfId="0" applyFill="1" applyBorder="1" applyAlignment="1">
      <alignment horizontal="center" vertical="center"/>
    </xf>
    <xf numFmtId="0" fontId="0" fillId="8" borderId="54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0" fillId="0" borderId="66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11" fillId="5" borderId="19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13" fillId="0" borderId="43" xfId="3" applyFont="1" applyBorder="1" applyAlignment="1">
      <alignment horizontal="center" vertical="center"/>
    </xf>
    <xf numFmtId="0" fontId="13" fillId="0" borderId="44" xfId="3" applyFont="1" applyBorder="1" applyAlignment="1">
      <alignment horizontal="center" vertical="center"/>
    </xf>
    <xf numFmtId="0" fontId="19" fillId="0" borderId="45" xfId="2" applyFont="1" applyBorder="1" applyAlignment="1">
      <alignment horizontal="center" vertical="center"/>
    </xf>
    <xf numFmtId="0" fontId="15" fillId="0" borderId="1" xfId="3" applyFont="1" applyBorder="1" applyAlignment="1">
      <alignment horizontal="center" vertical="center"/>
    </xf>
    <xf numFmtId="0" fontId="15" fillId="0" borderId="3" xfId="2" applyFont="1" applyBorder="1" applyAlignment="1">
      <alignment horizontal="center" vertical="center"/>
    </xf>
    <xf numFmtId="0" fontId="16" fillId="0" borderId="43" xfId="3" applyFont="1" applyBorder="1" applyAlignment="1">
      <alignment horizontal="center" vertical="center"/>
    </xf>
    <xf numFmtId="0" fontId="16" fillId="0" borderId="45" xfId="3" applyFont="1" applyBorder="1" applyAlignment="1">
      <alignment horizontal="center" vertical="center"/>
    </xf>
    <xf numFmtId="0" fontId="17" fillId="0" borderId="60" xfId="0" applyFont="1" applyBorder="1" applyAlignment="1">
      <alignment horizontal="center" vertical="center"/>
    </xf>
    <xf numFmtId="0" fontId="15" fillId="0" borderId="15" xfId="3" applyFont="1" applyBorder="1" applyAlignment="1">
      <alignment horizontal="center" vertical="center" wrapText="1"/>
    </xf>
    <xf numFmtId="0" fontId="16" fillId="0" borderId="53" xfId="3" applyFont="1" applyBorder="1" applyAlignment="1">
      <alignment horizontal="center" vertical="center"/>
    </xf>
    <xf numFmtId="0" fontId="16" fillId="0" borderId="44" xfId="2" applyFont="1" applyBorder="1" applyAlignment="1">
      <alignment horizontal="center" vertical="center"/>
    </xf>
    <xf numFmtId="0" fontId="13" fillId="0" borderId="45" xfId="3" applyFont="1" applyBorder="1" applyAlignment="1">
      <alignment horizontal="center" vertical="center"/>
    </xf>
  </cellXfs>
  <cellStyles count="4">
    <cellStyle name="Įprastas 2" xfId="3"/>
    <cellStyle name="Normal" xfId="0" builtinId="0"/>
    <cellStyle name="Normal 3 2" xfId="2"/>
    <cellStyle name="Normal 4" xfId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53339</xdr:colOff>
      <xdr:row>0</xdr:row>
      <xdr:rowOff>53341</xdr:rowOff>
    </xdr:from>
    <xdr:to>
      <xdr:col>6</xdr:col>
      <xdr:colOff>525780</xdr:colOff>
      <xdr:row>2</xdr:row>
      <xdr:rowOff>154666</xdr:rowOff>
    </xdr:to>
    <xdr:pic>
      <xdr:nvPicPr>
        <xdr:cNvPr id="2" name="Picture 595" descr="Logotipas LZSF">
          <a:extLst>
            <a:ext uri="{FF2B5EF4-FFF2-40B4-BE49-F238E27FC236}">
              <a16:creationId xmlns:a16="http://schemas.microsoft.com/office/drawing/2014/main" id="{9A749E49-F4CE-40DC-8269-8A1F96E1C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72839" y="53341"/>
          <a:ext cx="472441" cy="4670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68580</xdr:colOff>
      <xdr:row>0</xdr:row>
      <xdr:rowOff>45720</xdr:rowOff>
    </xdr:from>
    <xdr:ext cx="472497" cy="426719"/>
    <xdr:pic>
      <xdr:nvPicPr>
        <xdr:cNvPr id="3" name="Picture 2">
          <a:extLst>
            <a:ext uri="{FF2B5EF4-FFF2-40B4-BE49-F238E27FC236}">
              <a16:creationId xmlns:a16="http://schemas.microsoft.com/office/drawing/2014/main" id="{CC1067F0-8320-4FA2-A4EF-3F658BF79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4180" y="45720"/>
          <a:ext cx="472497" cy="426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E10" sqref="E10"/>
    </sheetView>
  </sheetViews>
  <sheetFormatPr defaultRowHeight="14.4" x14ac:dyDescent="0.3"/>
  <cols>
    <col min="2" max="2" width="30" customWidth="1"/>
  </cols>
  <sheetData>
    <row r="1" spans="1:6" ht="15.6" x14ac:dyDescent="0.3">
      <c r="A1" s="23"/>
      <c r="B1" s="24" t="s">
        <v>19</v>
      </c>
      <c r="C1" s="25"/>
      <c r="D1" s="25"/>
    </row>
    <row r="2" spans="1:6" ht="15" thickBot="1" x14ac:dyDescent="0.35">
      <c r="A2" s="23"/>
      <c r="B2" s="23"/>
      <c r="C2" s="23"/>
      <c r="D2" s="23"/>
    </row>
    <row r="3" spans="1:6" ht="31.8" customHeight="1" thickBot="1" x14ac:dyDescent="0.35">
      <c r="A3" s="252" t="s">
        <v>20</v>
      </c>
      <c r="B3" s="254" t="s">
        <v>21</v>
      </c>
      <c r="C3" s="256" t="s">
        <v>22</v>
      </c>
      <c r="D3" s="258" t="s">
        <v>23</v>
      </c>
      <c r="E3" s="259"/>
      <c r="F3" s="260"/>
    </row>
    <row r="4" spans="1:6" ht="21" thickBot="1" x14ac:dyDescent="0.35">
      <c r="A4" s="253"/>
      <c r="B4" s="255"/>
      <c r="C4" s="257"/>
      <c r="D4" s="26" t="s">
        <v>24</v>
      </c>
      <c r="E4" s="27" t="s">
        <v>25</v>
      </c>
      <c r="F4" s="28" t="s">
        <v>44</v>
      </c>
    </row>
    <row r="5" spans="1:6" x14ac:dyDescent="0.3">
      <c r="A5" s="29">
        <v>1</v>
      </c>
      <c r="B5" s="30" t="s">
        <v>26</v>
      </c>
      <c r="C5" s="31">
        <v>1</v>
      </c>
      <c r="D5" s="31">
        <v>1.5</v>
      </c>
      <c r="E5" s="31">
        <v>2</v>
      </c>
      <c r="F5" s="32">
        <v>2.5</v>
      </c>
    </row>
    <row r="6" spans="1:6" x14ac:dyDescent="0.3">
      <c r="A6" s="33">
        <v>2</v>
      </c>
      <c r="B6" s="34" t="s">
        <v>27</v>
      </c>
      <c r="C6" s="35">
        <v>1.5</v>
      </c>
      <c r="D6" s="35"/>
      <c r="E6" s="35"/>
      <c r="F6" s="36"/>
    </row>
    <row r="7" spans="1:6" x14ac:dyDescent="0.3">
      <c r="A7" s="33">
        <v>3</v>
      </c>
      <c r="B7" s="34" t="s">
        <v>28</v>
      </c>
      <c r="C7" s="35">
        <v>1.5</v>
      </c>
      <c r="D7" s="35">
        <v>1.5</v>
      </c>
      <c r="E7" s="35">
        <v>2</v>
      </c>
      <c r="F7" s="36">
        <v>2.5</v>
      </c>
    </row>
    <row r="8" spans="1:6" x14ac:dyDescent="0.3">
      <c r="A8" s="33">
        <v>4</v>
      </c>
      <c r="B8" s="34" t="s">
        <v>29</v>
      </c>
      <c r="C8" s="35">
        <v>2</v>
      </c>
      <c r="D8" s="35">
        <v>1.5</v>
      </c>
      <c r="E8" s="35">
        <v>2</v>
      </c>
      <c r="F8" s="36"/>
    </row>
    <row r="9" spans="1:6" x14ac:dyDescent="0.3">
      <c r="A9" s="33">
        <v>5</v>
      </c>
      <c r="B9" s="34" t="s">
        <v>30</v>
      </c>
      <c r="C9" s="35">
        <v>2</v>
      </c>
      <c r="D9" s="35">
        <v>1.5</v>
      </c>
      <c r="E9" s="35">
        <v>2</v>
      </c>
      <c r="F9" s="36">
        <v>2.5</v>
      </c>
    </row>
    <row r="10" spans="1:6" x14ac:dyDescent="0.3">
      <c r="A10" s="33">
        <v>6</v>
      </c>
      <c r="B10" s="34" t="s">
        <v>31</v>
      </c>
      <c r="C10" s="35">
        <v>3</v>
      </c>
      <c r="D10" s="35">
        <v>1.5</v>
      </c>
      <c r="E10" s="35">
        <v>2</v>
      </c>
      <c r="F10" s="36">
        <v>2.5</v>
      </c>
    </row>
    <row r="11" spans="1:6" x14ac:dyDescent="0.3">
      <c r="A11" s="33">
        <v>7</v>
      </c>
      <c r="B11" s="34" t="s">
        <v>32</v>
      </c>
      <c r="C11" s="35">
        <v>4</v>
      </c>
      <c r="D11" s="35">
        <v>1.5</v>
      </c>
      <c r="E11" s="35">
        <v>2</v>
      </c>
      <c r="F11" s="36">
        <v>2.5</v>
      </c>
    </row>
    <row r="12" spans="1:6" x14ac:dyDescent="0.3">
      <c r="A12" s="33">
        <v>8</v>
      </c>
      <c r="B12" s="34" t="s">
        <v>33</v>
      </c>
      <c r="C12" s="35">
        <v>5</v>
      </c>
      <c r="D12" s="35">
        <v>1.5</v>
      </c>
      <c r="E12" s="35">
        <v>2</v>
      </c>
      <c r="F12" s="36">
        <v>2.5</v>
      </c>
    </row>
    <row r="13" spans="1:6" ht="42.6" customHeight="1" x14ac:dyDescent="0.3">
      <c r="A13" s="37">
        <v>9</v>
      </c>
      <c r="B13" s="38" t="s">
        <v>34</v>
      </c>
      <c r="C13" s="39">
        <v>5</v>
      </c>
      <c r="D13" s="39">
        <v>1.5</v>
      </c>
      <c r="E13" s="39">
        <v>2</v>
      </c>
      <c r="F13" s="40">
        <v>2.5</v>
      </c>
    </row>
    <row r="14" spans="1:6" x14ac:dyDescent="0.3">
      <c r="A14" s="35">
        <v>10</v>
      </c>
      <c r="B14" s="34" t="s">
        <v>35</v>
      </c>
      <c r="C14" s="41">
        <v>2</v>
      </c>
      <c r="D14" s="41">
        <v>1.5</v>
      </c>
      <c r="E14" s="41">
        <v>2</v>
      </c>
      <c r="F14" s="41">
        <v>2.5</v>
      </c>
    </row>
    <row r="15" spans="1:6" x14ac:dyDescent="0.3">
      <c r="A15" s="42"/>
      <c r="B15" s="23"/>
      <c r="C15" s="43"/>
      <c r="D15" s="43"/>
      <c r="E15" s="43"/>
      <c r="F15" s="43"/>
    </row>
    <row r="16" spans="1:6" ht="15" thickBot="1" x14ac:dyDescent="0.35">
      <c r="A16" s="42"/>
      <c r="B16" s="23"/>
      <c r="C16" s="23"/>
      <c r="D16" s="43"/>
      <c r="E16" s="43"/>
      <c r="F16" s="43"/>
    </row>
    <row r="17" spans="1:6" ht="15" thickBot="1" x14ac:dyDescent="0.35">
      <c r="A17" s="44" t="s">
        <v>20</v>
      </c>
      <c r="B17" s="45" t="s">
        <v>36</v>
      </c>
      <c r="C17" s="46" t="s">
        <v>37</v>
      </c>
      <c r="D17" s="23"/>
    </row>
    <row r="18" spans="1:6" ht="45" customHeight="1" x14ac:dyDescent="0.3">
      <c r="A18" s="29">
        <v>1</v>
      </c>
      <c r="B18" s="47" t="s">
        <v>38</v>
      </c>
      <c r="C18" s="32">
        <v>500</v>
      </c>
      <c r="D18" s="48"/>
      <c r="E18" s="49"/>
      <c r="F18" s="49"/>
    </row>
    <row r="19" spans="1:6" ht="15" thickBot="1" x14ac:dyDescent="0.35">
      <c r="A19" s="50">
        <v>2</v>
      </c>
      <c r="B19" s="51" t="s">
        <v>39</v>
      </c>
      <c r="C19" s="52">
        <v>250</v>
      </c>
      <c r="D19" s="48"/>
      <c r="E19" s="49"/>
      <c r="F19" s="49"/>
    </row>
    <row r="20" spans="1:6" x14ac:dyDescent="0.3">
      <c r="A20" s="23"/>
      <c r="B20" s="23"/>
      <c r="C20" s="23"/>
      <c r="D20" s="23"/>
    </row>
    <row r="21" spans="1:6" x14ac:dyDescent="0.3">
      <c r="A21" s="23"/>
      <c r="B21" s="53" t="s">
        <v>40</v>
      </c>
      <c r="C21" s="23"/>
      <c r="D21" s="23"/>
    </row>
    <row r="22" spans="1:6" x14ac:dyDescent="0.3">
      <c r="A22" s="42">
        <v>1</v>
      </c>
      <c r="B22" s="23" t="s">
        <v>41</v>
      </c>
      <c r="C22" s="23"/>
      <c r="D22" s="23"/>
      <c r="E22" s="54"/>
    </row>
    <row r="23" spans="1:6" x14ac:dyDescent="0.3">
      <c r="A23" s="42">
        <v>2</v>
      </c>
      <c r="B23" s="23" t="s">
        <v>42</v>
      </c>
      <c r="C23" s="23"/>
      <c r="D23" s="23"/>
      <c r="E23" s="54"/>
    </row>
    <row r="24" spans="1:6" x14ac:dyDescent="0.3">
      <c r="A24" s="42">
        <v>3</v>
      </c>
      <c r="B24" s="23" t="s">
        <v>43</v>
      </c>
      <c r="C24" s="53"/>
      <c r="D24" s="23"/>
    </row>
  </sheetData>
  <mergeCells count="4">
    <mergeCell ref="A3:A4"/>
    <mergeCell ref="B3:B4"/>
    <mergeCell ref="C3:C4"/>
    <mergeCell ref="D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workbookViewId="0">
      <selection activeCell="F22" sqref="F22"/>
    </sheetView>
  </sheetViews>
  <sheetFormatPr defaultRowHeight="14.4" x14ac:dyDescent="0.3"/>
  <sheetData>
    <row r="1" spans="1:16" ht="15.6" x14ac:dyDescent="0.3">
      <c r="A1" s="261" t="s">
        <v>0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  <c r="N1" s="261"/>
    </row>
    <row r="2" spans="1:16" ht="15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6" ht="15" thickBot="1" x14ac:dyDescent="0.35">
      <c r="A3" s="2"/>
      <c r="B3" s="262" t="s">
        <v>1</v>
      </c>
      <c r="C3" s="263"/>
      <c r="D3" s="263"/>
      <c r="E3" s="263"/>
      <c r="F3" s="263"/>
      <c r="G3" s="263"/>
      <c r="H3" s="263"/>
      <c r="I3" s="263"/>
      <c r="J3" s="263"/>
      <c r="K3" s="263"/>
      <c r="L3" s="263"/>
      <c r="M3" s="263"/>
      <c r="N3" s="263"/>
      <c r="O3" s="263"/>
      <c r="P3" s="264"/>
    </row>
    <row r="4" spans="1:16" ht="27.6" thickBot="1" x14ac:dyDescent="0.35">
      <c r="A4" s="3" t="s">
        <v>2</v>
      </c>
      <c r="B4" s="4">
        <v>16</v>
      </c>
      <c r="C4" s="4">
        <v>15</v>
      </c>
      <c r="D4" s="4">
        <v>14</v>
      </c>
      <c r="E4" s="4">
        <v>13</v>
      </c>
      <c r="F4" s="4">
        <v>12</v>
      </c>
      <c r="G4" s="4">
        <v>11</v>
      </c>
      <c r="H4" s="4">
        <v>10</v>
      </c>
      <c r="I4" s="4">
        <v>9</v>
      </c>
      <c r="J4" s="4">
        <v>8</v>
      </c>
      <c r="K4" s="4">
        <v>7</v>
      </c>
      <c r="L4" s="4">
        <v>6</v>
      </c>
      <c r="M4" s="4">
        <v>5</v>
      </c>
      <c r="N4" s="5">
        <v>4</v>
      </c>
      <c r="O4" s="6">
        <v>3</v>
      </c>
      <c r="P4" s="7">
        <v>2</v>
      </c>
    </row>
    <row r="5" spans="1:16" ht="15" thickBot="1" x14ac:dyDescent="0.35">
      <c r="A5" s="8" t="s">
        <v>3</v>
      </c>
      <c r="B5" s="9">
        <v>20</v>
      </c>
      <c r="C5" s="9">
        <v>19</v>
      </c>
      <c r="D5" s="9">
        <v>18</v>
      </c>
      <c r="E5" s="9">
        <v>17</v>
      </c>
      <c r="F5" s="9">
        <v>16</v>
      </c>
      <c r="G5" s="9">
        <v>15</v>
      </c>
      <c r="H5" s="9">
        <v>14</v>
      </c>
      <c r="I5" s="9">
        <v>13</v>
      </c>
      <c r="J5" s="9">
        <v>12</v>
      </c>
      <c r="K5" s="9">
        <v>11</v>
      </c>
      <c r="L5" s="9">
        <v>10</v>
      </c>
      <c r="M5" s="9">
        <v>9</v>
      </c>
      <c r="N5" s="10">
        <v>8</v>
      </c>
      <c r="O5" s="11">
        <v>6</v>
      </c>
      <c r="P5" s="12">
        <v>4</v>
      </c>
    </row>
    <row r="6" spans="1:16" ht="15" thickBot="1" x14ac:dyDescent="0.35">
      <c r="A6" s="8" t="s">
        <v>4</v>
      </c>
      <c r="B6" s="9">
        <v>17</v>
      </c>
      <c r="C6" s="9">
        <v>16</v>
      </c>
      <c r="D6" s="9">
        <v>15</v>
      </c>
      <c r="E6" s="9">
        <v>14</v>
      </c>
      <c r="F6" s="9">
        <v>13</v>
      </c>
      <c r="G6" s="9">
        <v>12</v>
      </c>
      <c r="H6" s="9">
        <v>11</v>
      </c>
      <c r="I6" s="9">
        <v>10</v>
      </c>
      <c r="J6" s="9">
        <v>9</v>
      </c>
      <c r="K6" s="9">
        <v>8</v>
      </c>
      <c r="L6" s="9">
        <v>7</v>
      </c>
      <c r="M6" s="9">
        <v>6</v>
      </c>
      <c r="N6" s="10">
        <v>5</v>
      </c>
      <c r="O6" s="11">
        <v>3</v>
      </c>
      <c r="P6" s="12">
        <v>1</v>
      </c>
    </row>
    <row r="7" spans="1:16" ht="15" thickBot="1" x14ac:dyDescent="0.35">
      <c r="A7" s="8" t="s">
        <v>5</v>
      </c>
      <c r="B7" s="9">
        <v>15</v>
      </c>
      <c r="C7" s="9">
        <v>14</v>
      </c>
      <c r="D7" s="9">
        <v>13</v>
      </c>
      <c r="E7" s="9">
        <v>12</v>
      </c>
      <c r="F7" s="9">
        <v>11</v>
      </c>
      <c r="G7" s="9">
        <v>10</v>
      </c>
      <c r="H7" s="9">
        <v>9</v>
      </c>
      <c r="I7" s="9">
        <v>8</v>
      </c>
      <c r="J7" s="9">
        <v>7</v>
      </c>
      <c r="K7" s="9">
        <v>6</v>
      </c>
      <c r="L7" s="9">
        <v>5</v>
      </c>
      <c r="M7" s="9">
        <v>4</v>
      </c>
      <c r="N7" s="10">
        <v>3</v>
      </c>
      <c r="O7" s="13">
        <v>1</v>
      </c>
      <c r="P7" s="14"/>
    </row>
    <row r="8" spans="1:16" ht="15" thickBot="1" x14ac:dyDescent="0.35">
      <c r="A8" s="8" t="s">
        <v>6</v>
      </c>
      <c r="B8" s="9">
        <v>13</v>
      </c>
      <c r="C8" s="9">
        <v>12</v>
      </c>
      <c r="D8" s="9">
        <v>11</v>
      </c>
      <c r="E8" s="9">
        <v>10</v>
      </c>
      <c r="F8" s="9">
        <v>9</v>
      </c>
      <c r="G8" s="9">
        <v>8</v>
      </c>
      <c r="H8" s="9">
        <v>7</v>
      </c>
      <c r="I8" s="9">
        <v>6</v>
      </c>
      <c r="J8" s="9">
        <v>5</v>
      </c>
      <c r="K8" s="9">
        <v>4</v>
      </c>
      <c r="L8" s="9">
        <v>3</v>
      </c>
      <c r="M8" s="9">
        <v>2</v>
      </c>
      <c r="N8" s="10">
        <v>1</v>
      </c>
      <c r="O8" s="15"/>
      <c r="P8" s="16"/>
    </row>
    <row r="9" spans="1:16" ht="15" thickBot="1" x14ac:dyDescent="0.35">
      <c r="A9" s="8" t="s">
        <v>7</v>
      </c>
      <c r="B9" s="9">
        <v>12</v>
      </c>
      <c r="C9" s="9">
        <v>11</v>
      </c>
      <c r="D9" s="9">
        <v>10</v>
      </c>
      <c r="E9" s="9">
        <v>9</v>
      </c>
      <c r="F9" s="9">
        <v>8</v>
      </c>
      <c r="G9" s="9">
        <v>7</v>
      </c>
      <c r="H9" s="9">
        <v>6</v>
      </c>
      <c r="I9" s="9">
        <v>5</v>
      </c>
      <c r="J9" s="9">
        <v>4</v>
      </c>
      <c r="K9" s="9">
        <v>3</v>
      </c>
      <c r="L9" s="9">
        <v>2</v>
      </c>
      <c r="M9" s="9">
        <v>1</v>
      </c>
      <c r="N9" s="17"/>
      <c r="O9" s="15"/>
      <c r="P9" s="16"/>
    </row>
    <row r="10" spans="1:16" ht="15" thickBot="1" x14ac:dyDescent="0.35">
      <c r="A10" s="8" t="s">
        <v>8</v>
      </c>
      <c r="B10" s="9">
        <v>11</v>
      </c>
      <c r="C10" s="9">
        <v>10</v>
      </c>
      <c r="D10" s="9">
        <v>9</v>
      </c>
      <c r="E10" s="9">
        <v>8</v>
      </c>
      <c r="F10" s="9">
        <v>7</v>
      </c>
      <c r="G10" s="9">
        <v>6</v>
      </c>
      <c r="H10" s="9">
        <v>5</v>
      </c>
      <c r="I10" s="9">
        <v>4</v>
      </c>
      <c r="J10" s="9">
        <v>3</v>
      </c>
      <c r="K10" s="9">
        <v>2</v>
      </c>
      <c r="L10" s="9">
        <v>1</v>
      </c>
      <c r="M10" s="18"/>
      <c r="N10" s="17"/>
      <c r="O10" s="15"/>
      <c r="P10" s="16"/>
    </row>
    <row r="11" spans="1:16" ht="15" thickBot="1" x14ac:dyDescent="0.35">
      <c r="A11" s="8" t="s">
        <v>9</v>
      </c>
      <c r="B11" s="9">
        <v>10</v>
      </c>
      <c r="C11" s="9">
        <v>9</v>
      </c>
      <c r="D11" s="9">
        <v>8</v>
      </c>
      <c r="E11" s="9">
        <v>7</v>
      </c>
      <c r="F11" s="9">
        <v>6</v>
      </c>
      <c r="G11" s="9">
        <v>5</v>
      </c>
      <c r="H11" s="9">
        <v>4</v>
      </c>
      <c r="I11" s="9">
        <v>3</v>
      </c>
      <c r="J11" s="9">
        <v>2</v>
      </c>
      <c r="K11" s="9">
        <v>1</v>
      </c>
      <c r="L11" s="18"/>
      <c r="M11" s="18"/>
      <c r="N11" s="17"/>
      <c r="O11" s="15"/>
      <c r="P11" s="16"/>
    </row>
    <row r="12" spans="1:16" ht="15" thickBot="1" x14ac:dyDescent="0.35">
      <c r="A12" s="8" t="s">
        <v>10</v>
      </c>
      <c r="B12" s="9">
        <v>9</v>
      </c>
      <c r="C12" s="9">
        <v>8</v>
      </c>
      <c r="D12" s="9">
        <v>7</v>
      </c>
      <c r="E12" s="9">
        <v>6</v>
      </c>
      <c r="F12" s="9">
        <v>5</v>
      </c>
      <c r="G12" s="9">
        <v>4</v>
      </c>
      <c r="H12" s="9">
        <v>3</v>
      </c>
      <c r="I12" s="9">
        <v>2</v>
      </c>
      <c r="J12" s="9">
        <v>1</v>
      </c>
      <c r="K12" s="18"/>
      <c r="L12" s="18"/>
      <c r="M12" s="18"/>
      <c r="N12" s="17"/>
      <c r="O12" s="15"/>
      <c r="P12" s="16"/>
    </row>
    <row r="13" spans="1:16" ht="15" thickBot="1" x14ac:dyDescent="0.35">
      <c r="A13" s="8" t="s">
        <v>11</v>
      </c>
      <c r="B13" s="9">
        <v>8</v>
      </c>
      <c r="C13" s="9">
        <v>7</v>
      </c>
      <c r="D13" s="9">
        <v>6</v>
      </c>
      <c r="E13" s="9">
        <v>5</v>
      </c>
      <c r="F13" s="9">
        <v>4</v>
      </c>
      <c r="G13" s="9">
        <v>3</v>
      </c>
      <c r="H13" s="9">
        <v>2</v>
      </c>
      <c r="I13" s="9">
        <v>1</v>
      </c>
      <c r="J13" s="18"/>
      <c r="K13" s="18"/>
      <c r="L13" s="18"/>
      <c r="M13" s="18"/>
      <c r="N13" s="17"/>
      <c r="O13" s="15"/>
      <c r="P13" s="16"/>
    </row>
    <row r="14" spans="1:16" ht="15" thickBot="1" x14ac:dyDescent="0.35">
      <c r="A14" s="8" t="s">
        <v>12</v>
      </c>
      <c r="B14" s="9">
        <v>7</v>
      </c>
      <c r="C14" s="9">
        <v>6</v>
      </c>
      <c r="D14" s="9">
        <v>5</v>
      </c>
      <c r="E14" s="9">
        <v>4</v>
      </c>
      <c r="F14" s="9">
        <v>3</v>
      </c>
      <c r="G14" s="9">
        <v>2</v>
      </c>
      <c r="H14" s="9">
        <v>1</v>
      </c>
      <c r="I14" s="18"/>
      <c r="J14" s="18"/>
      <c r="K14" s="18"/>
      <c r="L14" s="18"/>
      <c r="M14" s="18"/>
      <c r="N14" s="17"/>
      <c r="O14" s="19"/>
      <c r="P14" s="20"/>
    </row>
    <row r="15" spans="1:16" ht="15" thickBot="1" x14ac:dyDescent="0.35">
      <c r="A15" s="8" t="s">
        <v>13</v>
      </c>
      <c r="B15" s="9">
        <v>6</v>
      </c>
      <c r="C15" s="9">
        <v>5</v>
      </c>
      <c r="D15" s="9">
        <v>4</v>
      </c>
      <c r="E15" s="9">
        <v>3</v>
      </c>
      <c r="F15" s="9">
        <v>2</v>
      </c>
      <c r="G15" s="9">
        <v>1</v>
      </c>
      <c r="H15" s="18"/>
      <c r="I15" s="18"/>
      <c r="J15" s="18"/>
      <c r="K15" s="18"/>
      <c r="L15" s="18"/>
      <c r="M15" s="18"/>
      <c r="N15" s="17"/>
      <c r="O15" s="21"/>
      <c r="P15" s="22"/>
    </row>
    <row r="16" spans="1:16" ht="15" thickBot="1" x14ac:dyDescent="0.35">
      <c r="A16" s="8" t="s">
        <v>14</v>
      </c>
      <c r="B16" s="9">
        <v>5</v>
      </c>
      <c r="C16" s="9">
        <v>4</v>
      </c>
      <c r="D16" s="9">
        <v>3</v>
      </c>
      <c r="E16" s="9">
        <v>2</v>
      </c>
      <c r="F16" s="9">
        <v>1</v>
      </c>
      <c r="G16" s="18"/>
      <c r="H16" s="18"/>
      <c r="I16" s="18"/>
      <c r="J16" s="18"/>
      <c r="K16" s="18"/>
      <c r="L16" s="18"/>
      <c r="M16" s="18"/>
      <c r="N16" s="17"/>
      <c r="O16" s="21"/>
      <c r="P16" s="22"/>
    </row>
    <row r="17" spans="1:16" ht="15" thickBot="1" x14ac:dyDescent="0.35">
      <c r="A17" s="8" t="s">
        <v>15</v>
      </c>
      <c r="B17" s="9">
        <v>4</v>
      </c>
      <c r="C17" s="9">
        <v>3</v>
      </c>
      <c r="D17" s="9">
        <v>2</v>
      </c>
      <c r="E17" s="9">
        <v>1</v>
      </c>
      <c r="F17" s="18"/>
      <c r="G17" s="18"/>
      <c r="H17" s="18"/>
      <c r="I17" s="18"/>
      <c r="J17" s="18"/>
      <c r="K17" s="18"/>
      <c r="L17" s="18"/>
      <c r="M17" s="18"/>
      <c r="N17" s="17"/>
      <c r="O17" s="21"/>
      <c r="P17" s="22"/>
    </row>
    <row r="18" spans="1:16" ht="15" thickBot="1" x14ac:dyDescent="0.35">
      <c r="A18" s="8" t="s">
        <v>16</v>
      </c>
      <c r="B18" s="9">
        <v>3</v>
      </c>
      <c r="C18" s="9">
        <v>2</v>
      </c>
      <c r="D18" s="9">
        <v>1</v>
      </c>
      <c r="E18" s="18"/>
      <c r="F18" s="18"/>
      <c r="G18" s="18"/>
      <c r="H18" s="18"/>
      <c r="I18" s="18"/>
      <c r="J18" s="18"/>
      <c r="K18" s="18"/>
      <c r="L18" s="18"/>
      <c r="M18" s="18"/>
      <c r="N18" s="17"/>
      <c r="O18" s="21"/>
      <c r="P18" s="22"/>
    </row>
    <row r="19" spans="1:16" ht="15" thickBot="1" x14ac:dyDescent="0.35">
      <c r="A19" s="8" t="s">
        <v>17</v>
      </c>
      <c r="B19" s="9">
        <v>2</v>
      </c>
      <c r="C19" s="9">
        <v>1</v>
      </c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7"/>
      <c r="O19" s="21"/>
      <c r="P19" s="22"/>
    </row>
    <row r="20" spans="1:16" ht="15" thickBot="1" x14ac:dyDescent="0.35">
      <c r="A20" s="8" t="s">
        <v>18</v>
      </c>
      <c r="B20" s="9">
        <v>1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7"/>
      <c r="O20" s="21"/>
      <c r="P20" s="22"/>
    </row>
  </sheetData>
  <mergeCells count="2">
    <mergeCell ref="A1:N1"/>
    <mergeCell ref="B3:P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91"/>
  <sheetViews>
    <sheetView workbookViewId="0">
      <selection activeCell="BC5" sqref="BC5"/>
    </sheetView>
  </sheetViews>
  <sheetFormatPr defaultRowHeight="14.4" x14ac:dyDescent="0.3"/>
  <cols>
    <col min="2" max="2" width="20.109375" customWidth="1"/>
    <col min="3" max="3" width="11.77734375" style="80" customWidth="1"/>
    <col min="4" max="18" width="6.88671875" customWidth="1"/>
    <col min="19" max="39" width="6.77734375" style="85" customWidth="1"/>
    <col min="40" max="59" width="6.6640625" style="85" customWidth="1"/>
    <col min="60" max="60" width="7.109375" style="85" customWidth="1"/>
    <col min="61" max="61" width="10.33203125" customWidth="1"/>
    <col min="70" max="70" width="12.88671875" customWidth="1"/>
    <col min="73" max="73" width="19.33203125" customWidth="1"/>
  </cols>
  <sheetData>
    <row r="1" spans="1:61" x14ac:dyDescent="0.3">
      <c r="A1" s="290" t="s">
        <v>109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291"/>
      <c r="T1" s="291"/>
      <c r="U1" s="291"/>
      <c r="V1" s="291"/>
      <c r="W1" s="291"/>
      <c r="X1" s="291"/>
      <c r="Y1" s="291"/>
      <c r="Z1" s="291"/>
      <c r="AA1" s="291"/>
      <c r="AB1" s="291"/>
      <c r="AC1" s="291"/>
      <c r="AD1" s="291"/>
      <c r="AE1" s="291"/>
      <c r="AF1" s="291"/>
      <c r="AG1" s="291"/>
      <c r="AH1" s="291"/>
      <c r="AI1" s="291"/>
      <c r="AJ1" s="291"/>
      <c r="AK1" s="291"/>
      <c r="AL1" s="291"/>
      <c r="AM1" s="291"/>
      <c r="AN1" s="291"/>
      <c r="AO1" s="291"/>
      <c r="AP1" s="291"/>
      <c r="AQ1" s="291"/>
      <c r="AR1" s="291"/>
      <c r="AS1" s="291"/>
      <c r="AT1" s="291"/>
      <c r="AU1" s="291"/>
      <c r="AV1" s="291"/>
      <c r="AW1" s="291"/>
      <c r="AX1" s="291"/>
      <c r="AY1" s="291"/>
      <c r="AZ1" s="291"/>
      <c r="BA1" s="291"/>
      <c r="BB1" s="291"/>
      <c r="BC1" s="291"/>
      <c r="BD1" s="291"/>
      <c r="BE1" s="291"/>
      <c r="BF1" s="291"/>
      <c r="BG1" s="291"/>
      <c r="BH1" s="291"/>
      <c r="BI1" s="292"/>
    </row>
    <row r="2" spans="1:61" ht="15" thickBot="1" x14ac:dyDescent="0.35">
      <c r="A2" s="293"/>
      <c r="B2" s="294"/>
      <c r="C2" s="294"/>
      <c r="D2" s="295"/>
      <c r="E2" s="295"/>
      <c r="F2" s="295"/>
      <c r="G2" s="295"/>
      <c r="H2" s="295"/>
      <c r="I2" s="295"/>
      <c r="J2" s="295"/>
      <c r="K2" s="295"/>
      <c r="L2" s="295"/>
      <c r="M2" s="295"/>
      <c r="N2" s="295"/>
      <c r="O2" s="295"/>
      <c r="P2" s="295"/>
      <c r="Q2" s="295"/>
      <c r="R2" s="295"/>
      <c r="S2" s="295"/>
      <c r="T2" s="295"/>
      <c r="U2" s="295"/>
      <c r="V2" s="295"/>
      <c r="W2" s="295"/>
      <c r="X2" s="295"/>
      <c r="Y2" s="295"/>
      <c r="Z2" s="295"/>
      <c r="AA2" s="295"/>
      <c r="AB2" s="295"/>
      <c r="AC2" s="295"/>
      <c r="AD2" s="295"/>
      <c r="AE2" s="295"/>
      <c r="AF2" s="295"/>
      <c r="AG2" s="295"/>
      <c r="AH2" s="295"/>
      <c r="AI2" s="295"/>
      <c r="AJ2" s="295"/>
      <c r="AK2" s="295"/>
      <c r="AL2" s="295"/>
      <c r="AM2" s="295"/>
      <c r="AN2" s="295"/>
      <c r="AO2" s="295"/>
      <c r="AP2" s="295"/>
      <c r="AQ2" s="295"/>
      <c r="AR2" s="295"/>
      <c r="AS2" s="295"/>
      <c r="AT2" s="295"/>
      <c r="AU2" s="295"/>
      <c r="AV2" s="295"/>
      <c r="AW2" s="295"/>
      <c r="AX2" s="295"/>
      <c r="AY2" s="295"/>
      <c r="AZ2" s="295"/>
      <c r="BA2" s="295"/>
      <c r="BB2" s="295"/>
      <c r="BC2" s="295"/>
      <c r="BD2" s="295"/>
      <c r="BE2" s="295"/>
      <c r="BF2" s="295"/>
      <c r="BG2" s="295"/>
      <c r="BH2" s="295"/>
      <c r="BI2" s="296"/>
    </row>
    <row r="3" spans="1:61" ht="19.8" customHeight="1" thickBot="1" x14ac:dyDescent="0.35">
      <c r="A3" s="191" t="s">
        <v>48</v>
      </c>
      <c r="B3" s="57" t="s">
        <v>49</v>
      </c>
      <c r="C3" s="362" t="s">
        <v>50</v>
      </c>
      <c r="D3" s="364">
        <v>1</v>
      </c>
      <c r="E3" s="365">
        <v>2</v>
      </c>
      <c r="F3" s="365">
        <v>3</v>
      </c>
      <c r="G3" s="365">
        <v>4</v>
      </c>
      <c r="H3" s="365">
        <v>5</v>
      </c>
      <c r="I3" s="365">
        <v>6</v>
      </c>
      <c r="J3" s="365">
        <v>7</v>
      </c>
      <c r="K3" s="365">
        <v>8</v>
      </c>
      <c r="L3" s="365">
        <v>9</v>
      </c>
      <c r="M3" s="365">
        <v>10</v>
      </c>
      <c r="N3" s="365">
        <v>11</v>
      </c>
      <c r="O3" s="365">
        <v>12</v>
      </c>
      <c r="P3" s="365">
        <v>13</v>
      </c>
      <c r="Q3" s="365">
        <v>14</v>
      </c>
      <c r="R3" s="375">
        <v>15</v>
      </c>
      <c r="S3" s="176">
        <v>1</v>
      </c>
      <c r="T3" s="83">
        <v>2</v>
      </c>
      <c r="U3" s="83">
        <v>3</v>
      </c>
      <c r="V3" s="83">
        <v>4</v>
      </c>
      <c r="W3" s="83">
        <v>5</v>
      </c>
      <c r="X3" s="83">
        <v>6</v>
      </c>
      <c r="Y3" s="83">
        <v>7</v>
      </c>
      <c r="Z3" s="83">
        <v>8</v>
      </c>
      <c r="AA3" s="83">
        <v>9</v>
      </c>
      <c r="AB3" s="83">
        <v>10</v>
      </c>
      <c r="AC3" s="83">
        <v>11</v>
      </c>
      <c r="AD3" s="83">
        <v>12</v>
      </c>
      <c r="AE3" s="83">
        <v>13</v>
      </c>
      <c r="AF3" s="83">
        <v>14</v>
      </c>
      <c r="AG3" s="83">
        <v>15</v>
      </c>
      <c r="AH3" s="83">
        <v>16</v>
      </c>
      <c r="AI3" s="83">
        <v>17</v>
      </c>
      <c r="AJ3" s="83">
        <v>18</v>
      </c>
      <c r="AK3" s="83">
        <v>19</v>
      </c>
      <c r="AL3" s="83">
        <v>20</v>
      </c>
      <c r="AM3" s="83">
        <v>21</v>
      </c>
      <c r="AN3" s="83">
        <v>22</v>
      </c>
      <c r="AO3" s="83">
        <v>23</v>
      </c>
      <c r="AP3" s="83">
        <v>24</v>
      </c>
      <c r="AQ3" s="83">
        <v>25</v>
      </c>
      <c r="AR3" s="83">
        <v>26</v>
      </c>
      <c r="AS3" s="83">
        <v>27</v>
      </c>
      <c r="AT3" s="83">
        <v>28</v>
      </c>
      <c r="AU3" s="83">
        <v>29</v>
      </c>
      <c r="AV3" s="83">
        <v>30</v>
      </c>
      <c r="AW3" s="83">
        <v>31</v>
      </c>
      <c r="AX3" s="83">
        <v>32</v>
      </c>
      <c r="AY3" s="83">
        <v>33</v>
      </c>
      <c r="AZ3" s="83">
        <v>34</v>
      </c>
      <c r="BA3" s="83">
        <v>35</v>
      </c>
      <c r="BB3" s="83">
        <v>36</v>
      </c>
      <c r="BC3" s="83">
        <v>37</v>
      </c>
      <c r="BD3" s="83">
        <v>38</v>
      </c>
      <c r="BE3" s="83">
        <v>39</v>
      </c>
      <c r="BF3" s="83">
        <v>40</v>
      </c>
      <c r="BG3" s="83">
        <v>41</v>
      </c>
      <c r="BH3" s="366">
        <v>42</v>
      </c>
      <c r="BI3" s="229" t="s">
        <v>50</v>
      </c>
    </row>
    <row r="4" spans="1:61" x14ac:dyDescent="0.3">
      <c r="A4" s="130">
        <v>1</v>
      </c>
      <c r="B4" s="218" t="s">
        <v>110</v>
      </c>
      <c r="C4" s="100">
        <f t="shared" ref="C4:C42" si="0">BI4</f>
        <v>4408.5</v>
      </c>
      <c r="D4" s="245">
        <v>60</v>
      </c>
      <c r="E4" s="246">
        <v>85</v>
      </c>
      <c r="F4" s="246">
        <v>30</v>
      </c>
      <c r="G4" s="246"/>
      <c r="H4" s="246">
        <v>70</v>
      </c>
      <c r="I4" s="246"/>
      <c r="J4" s="246"/>
      <c r="K4" s="246"/>
      <c r="L4" s="246"/>
      <c r="M4" s="246"/>
      <c r="N4" s="246"/>
      <c r="O4" s="246"/>
      <c r="P4" s="246">
        <v>253.5</v>
      </c>
      <c r="Q4" s="246"/>
      <c r="R4" s="246"/>
      <c r="S4" s="149"/>
      <c r="T4" s="145"/>
      <c r="U4" s="145"/>
      <c r="V4" s="145"/>
      <c r="W4" s="145">
        <v>310</v>
      </c>
      <c r="X4" s="145"/>
      <c r="Y4" s="145"/>
      <c r="Z4" s="145"/>
      <c r="AA4" s="145">
        <v>120</v>
      </c>
      <c r="AB4" s="145"/>
      <c r="AC4" s="145">
        <v>244.5</v>
      </c>
      <c r="AD4" s="145">
        <v>155.5</v>
      </c>
      <c r="AE4" s="145"/>
      <c r="AF4" s="145"/>
      <c r="AG4" s="145">
        <v>99.5</v>
      </c>
      <c r="AH4" s="145">
        <v>147</v>
      </c>
      <c r="AI4" s="145"/>
      <c r="AJ4" s="145"/>
      <c r="AK4" s="145">
        <v>126.5</v>
      </c>
      <c r="AL4" s="145">
        <v>123.5</v>
      </c>
      <c r="AM4" s="145"/>
      <c r="AN4" s="145">
        <v>68</v>
      </c>
      <c r="AO4" s="145"/>
      <c r="AP4" s="145"/>
      <c r="AQ4" s="145">
        <v>82.5</v>
      </c>
      <c r="AR4" s="145">
        <v>270.5</v>
      </c>
      <c r="AS4" s="145">
        <v>95</v>
      </c>
      <c r="AT4" s="145"/>
      <c r="AU4" s="145"/>
      <c r="AV4" s="145">
        <v>197.5</v>
      </c>
      <c r="AW4" s="145">
        <v>214.5</v>
      </c>
      <c r="AX4" s="145">
        <v>70</v>
      </c>
      <c r="AY4" s="145"/>
      <c r="AZ4" s="91"/>
      <c r="BA4" s="91">
        <v>60</v>
      </c>
      <c r="BB4" s="91">
        <v>198</v>
      </c>
      <c r="BC4" s="91">
        <v>195.5</v>
      </c>
      <c r="BD4" s="91"/>
      <c r="BE4" s="91">
        <v>379</v>
      </c>
      <c r="BF4" s="91">
        <v>346</v>
      </c>
      <c r="BG4" s="91">
        <v>314.5</v>
      </c>
      <c r="BH4" s="145">
        <v>92.5</v>
      </c>
      <c r="BI4" s="111">
        <f t="shared" ref="BI4:BI42" si="1">SUM(D4:BH4)</f>
        <v>4408.5</v>
      </c>
    </row>
    <row r="5" spans="1:61" x14ac:dyDescent="0.3">
      <c r="A5" s="116">
        <v>2</v>
      </c>
      <c r="B5" s="122" t="s">
        <v>100</v>
      </c>
      <c r="C5" s="100">
        <f t="shared" si="0"/>
        <v>3886.5</v>
      </c>
      <c r="D5" s="247">
        <v>100</v>
      </c>
      <c r="E5" s="248">
        <v>60</v>
      </c>
      <c r="F5" s="248">
        <v>120</v>
      </c>
      <c r="G5" s="248"/>
      <c r="H5" s="248">
        <v>77.5</v>
      </c>
      <c r="I5" s="248"/>
      <c r="J5" s="248">
        <v>127.5</v>
      </c>
      <c r="K5" s="248">
        <v>92.5</v>
      </c>
      <c r="L5" s="248"/>
      <c r="M5" s="248"/>
      <c r="N5" s="248">
        <v>154</v>
      </c>
      <c r="O5" s="246"/>
      <c r="P5" s="248">
        <v>171</v>
      </c>
      <c r="Q5" s="248"/>
      <c r="R5" s="248">
        <v>72.5</v>
      </c>
      <c r="S5" s="147"/>
      <c r="T5" s="133"/>
      <c r="U5" s="133"/>
      <c r="V5" s="133"/>
      <c r="W5" s="133">
        <v>40</v>
      </c>
      <c r="X5" s="133"/>
      <c r="Y5" s="133"/>
      <c r="Z5" s="133"/>
      <c r="AA5" s="133">
        <v>117</v>
      </c>
      <c r="AB5" s="133"/>
      <c r="AC5" s="133">
        <v>347</v>
      </c>
      <c r="AD5" s="133">
        <v>173.5</v>
      </c>
      <c r="AE5" s="133"/>
      <c r="AF5" s="133"/>
      <c r="AG5" s="133"/>
      <c r="AH5" s="133">
        <v>44</v>
      </c>
      <c r="AI5" s="133">
        <v>115.5</v>
      </c>
      <c r="AJ5" s="133"/>
      <c r="AK5" s="133"/>
      <c r="AL5" s="133">
        <v>70</v>
      </c>
      <c r="AM5" s="133"/>
      <c r="AN5" s="133"/>
      <c r="AO5" s="133">
        <v>325</v>
      </c>
      <c r="AP5" s="133"/>
      <c r="AQ5" s="133">
        <v>63</v>
      </c>
      <c r="AR5" s="133">
        <v>83</v>
      </c>
      <c r="AS5" s="133">
        <v>5</v>
      </c>
      <c r="AT5" s="133"/>
      <c r="AU5" s="133"/>
      <c r="AV5" s="133">
        <v>180</v>
      </c>
      <c r="AW5" s="133">
        <v>197.5</v>
      </c>
      <c r="AX5" s="133"/>
      <c r="AY5" s="133"/>
      <c r="AZ5" s="190"/>
      <c r="BA5" s="190"/>
      <c r="BB5" s="190"/>
      <c r="BC5" s="190">
        <v>283.5</v>
      </c>
      <c r="BD5" s="190"/>
      <c r="BE5" s="190">
        <v>259.5</v>
      </c>
      <c r="BF5" s="190">
        <v>331</v>
      </c>
      <c r="BG5" s="190">
        <v>114</v>
      </c>
      <c r="BH5" s="133">
        <v>163</v>
      </c>
      <c r="BI5" s="84">
        <f t="shared" si="1"/>
        <v>3886.5</v>
      </c>
    </row>
    <row r="6" spans="1:61" x14ac:dyDescent="0.3">
      <c r="A6" s="130">
        <v>3</v>
      </c>
      <c r="B6" s="122" t="s">
        <v>101</v>
      </c>
      <c r="C6" s="100">
        <f t="shared" si="0"/>
        <v>2524.5</v>
      </c>
      <c r="D6" s="247">
        <v>22.5</v>
      </c>
      <c r="E6" s="248">
        <v>50</v>
      </c>
      <c r="F6" s="248">
        <v>110</v>
      </c>
      <c r="G6" s="248">
        <v>85</v>
      </c>
      <c r="H6" s="248"/>
      <c r="I6" s="248">
        <v>8</v>
      </c>
      <c r="J6" s="248">
        <v>42.5</v>
      </c>
      <c r="K6" s="248">
        <v>82.5</v>
      </c>
      <c r="L6" s="248"/>
      <c r="M6" s="248"/>
      <c r="N6" s="248">
        <v>156</v>
      </c>
      <c r="O6" s="248"/>
      <c r="P6" s="248">
        <v>228.5</v>
      </c>
      <c r="Q6" s="248">
        <v>15</v>
      </c>
      <c r="R6" s="248">
        <v>105</v>
      </c>
      <c r="S6" s="147"/>
      <c r="T6" s="133"/>
      <c r="U6" s="133"/>
      <c r="V6" s="133"/>
      <c r="W6" s="133"/>
      <c r="X6" s="133"/>
      <c r="Y6" s="133"/>
      <c r="Z6" s="133"/>
      <c r="AA6" s="133"/>
      <c r="AB6" s="133"/>
      <c r="AC6" s="133">
        <v>303.5</v>
      </c>
      <c r="AD6" s="133">
        <v>153.5</v>
      </c>
      <c r="AE6" s="133"/>
      <c r="AF6" s="133"/>
      <c r="AG6" s="133"/>
      <c r="AH6" s="133"/>
      <c r="AI6" s="133">
        <v>199.5</v>
      </c>
      <c r="AJ6" s="133"/>
      <c r="AK6" s="133"/>
      <c r="AL6" s="133"/>
      <c r="AM6" s="133">
        <v>267.5</v>
      </c>
      <c r="AN6" s="133"/>
      <c r="AO6" s="133">
        <v>241.5</v>
      </c>
      <c r="AP6" s="133"/>
      <c r="AQ6" s="133"/>
      <c r="AR6" s="133"/>
      <c r="AS6" s="133"/>
      <c r="AT6" s="133"/>
      <c r="AU6" s="133"/>
      <c r="AV6" s="133">
        <v>133.5</v>
      </c>
      <c r="AW6" s="133"/>
      <c r="AX6" s="133"/>
      <c r="AY6" s="133"/>
      <c r="AZ6" s="190"/>
      <c r="BA6" s="190"/>
      <c r="BB6" s="190"/>
      <c r="BC6" s="190">
        <v>145</v>
      </c>
      <c r="BD6" s="190"/>
      <c r="BE6" s="190"/>
      <c r="BF6" s="190"/>
      <c r="BG6" s="190"/>
      <c r="BH6" s="133">
        <v>175.5</v>
      </c>
      <c r="BI6" s="84">
        <f t="shared" si="1"/>
        <v>2524.5</v>
      </c>
    </row>
    <row r="7" spans="1:61" x14ac:dyDescent="0.3">
      <c r="A7" s="116">
        <v>4</v>
      </c>
      <c r="B7" s="122" t="s">
        <v>102</v>
      </c>
      <c r="C7" s="100">
        <f t="shared" si="0"/>
        <v>1177.5</v>
      </c>
      <c r="D7" s="247">
        <v>65</v>
      </c>
      <c r="E7" s="248"/>
      <c r="F7" s="248"/>
      <c r="G7" s="248">
        <v>80</v>
      </c>
      <c r="H7" s="248">
        <v>50</v>
      </c>
      <c r="I7" s="248">
        <v>26</v>
      </c>
      <c r="J7" s="248">
        <v>42.5</v>
      </c>
      <c r="K7" s="248">
        <v>110</v>
      </c>
      <c r="L7" s="248"/>
      <c r="M7" s="248"/>
      <c r="N7" s="248">
        <v>53.5</v>
      </c>
      <c r="O7" s="248"/>
      <c r="P7" s="248">
        <v>161</v>
      </c>
      <c r="Q7" s="248">
        <v>75</v>
      </c>
      <c r="R7" s="248"/>
      <c r="S7" s="147"/>
      <c r="T7" s="133"/>
      <c r="U7" s="133"/>
      <c r="V7" s="133"/>
      <c r="W7" s="133"/>
      <c r="X7" s="133"/>
      <c r="Y7" s="133"/>
      <c r="Z7" s="133"/>
      <c r="AA7" s="133"/>
      <c r="AB7" s="133"/>
      <c r="AC7" s="133">
        <v>52.5</v>
      </c>
      <c r="AD7" s="133">
        <v>111</v>
      </c>
      <c r="AE7" s="133"/>
      <c r="AF7" s="133"/>
      <c r="AG7" s="133"/>
      <c r="AH7" s="133"/>
      <c r="AI7" s="133"/>
      <c r="AJ7" s="133"/>
      <c r="AK7" s="133"/>
      <c r="AL7" s="133"/>
      <c r="AM7" s="133"/>
      <c r="AN7" s="133"/>
      <c r="AO7" s="133">
        <v>124.5</v>
      </c>
      <c r="AP7" s="133"/>
      <c r="AQ7" s="133"/>
      <c r="AR7" s="133"/>
      <c r="AS7" s="133"/>
      <c r="AT7" s="133"/>
      <c r="AU7" s="133"/>
      <c r="AV7" s="133">
        <v>91.5</v>
      </c>
      <c r="AW7" s="133">
        <v>72</v>
      </c>
      <c r="AX7" s="133"/>
      <c r="AY7" s="133"/>
      <c r="AZ7" s="190"/>
      <c r="BA7" s="190"/>
      <c r="BB7" s="190"/>
      <c r="BC7" s="190">
        <v>63</v>
      </c>
      <c r="BD7" s="190"/>
      <c r="BE7" s="190"/>
      <c r="BF7" s="190"/>
      <c r="BG7" s="190"/>
      <c r="BH7" s="133"/>
      <c r="BI7" s="84">
        <f t="shared" si="1"/>
        <v>1177.5</v>
      </c>
    </row>
    <row r="8" spans="1:61" x14ac:dyDescent="0.3">
      <c r="A8" s="130">
        <v>5</v>
      </c>
      <c r="B8" s="122" t="s">
        <v>108</v>
      </c>
      <c r="C8" s="100">
        <f t="shared" si="0"/>
        <v>929</v>
      </c>
      <c r="D8" s="247">
        <v>42.5</v>
      </c>
      <c r="E8" s="248"/>
      <c r="F8" s="248"/>
      <c r="G8" s="248">
        <v>10</v>
      </c>
      <c r="H8" s="248"/>
      <c r="I8" s="248">
        <v>10</v>
      </c>
      <c r="J8" s="248">
        <v>7.5</v>
      </c>
      <c r="K8" s="248"/>
      <c r="L8" s="248"/>
      <c r="M8" s="248"/>
      <c r="N8" s="248">
        <v>50</v>
      </c>
      <c r="O8" s="248"/>
      <c r="P8" s="248">
        <v>116</v>
      </c>
      <c r="Q8" s="248"/>
      <c r="R8" s="248"/>
      <c r="S8" s="147"/>
      <c r="T8" s="133"/>
      <c r="U8" s="133"/>
      <c r="V8" s="133"/>
      <c r="W8" s="133"/>
      <c r="X8" s="133"/>
      <c r="Y8" s="133"/>
      <c r="Z8" s="133"/>
      <c r="AA8" s="133"/>
      <c r="AB8" s="133"/>
      <c r="AC8" s="133">
        <v>177.5</v>
      </c>
      <c r="AD8" s="133">
        <v>115.5</v>
      </c>
      <c r="AE8" s="133"/>
      <c r="AF8" s="133"/>
      <c r="AG8" s="133"/>
      <c r="AH8" s="133"/>
      <c r="AI8" s="133"/>
      <c r="AJ8" s="133"/>
      <c r="AK8" s="133"/>
      <c r="AL8" s="133"/>
      <c r="AM8" s="133"/>
      <c r="AN8" s="133"/>
      <c r="AO8" s="133">
        <v>63</v>
      </c>
      <c r="AP8" s="133"/>
      <c r="AQ8" s="133"/>
      <c r="AR8" s="133"/>
      <c r="AS8" s="133"/>
      <c r="AT8" s="133"/>
      <c r="AU8" s="133"/>
      <c r="AV8" s="133">
        <v>42</v>
      </c>
      <c r="AW8" s="133">
        <v>116</v>
      </c>
      <c r="AX8" s="133"/>
      <c r="AY8" s="133"/>
      <c r="AZ8" s="190"/>
      <c r="BA8" s="190"/>
      <c r="BB8" s="190"/>
      <c r="BC8" s="190">
        <v>159</v>
      </c>
      <c r="BD8" s="190"/>
      <c r="BE8" s="190"/>
      <c r="BF8" s="190"/>
      <c r="BG8" s="190">
        <v>20</v>
      </c>
      <c r="BH8" s="133"/>
      <c r="BI8" s="84">
        <f t="shared" si="1"/>
        <v>929</v>
      </c>
    </row>
    <row r="9" spans="1:61" x14ac:dyDescent="0.3">
      <c r="A9" s="116">
        <v>6</v>
      </c>
      <c r="B9" s="122" t="s">
        <v>105</v>
      </c>
      <c r="C9" s="100">
        <f t="shared" si="0"/>
        <v>898.5</v>
      </c>
      <c r="D9" s="247"/>
      <c r="E9" s="248"/>
      <c r="F9" s="248"/>
      <c r="G9" s="248">
        <v>150</v>
      </c>
      <c r="H9" s="248">
        <v>72.5</v>
      </c>
      <c r="I9" s="248">
        <v>33</v>
      </c>
      <c r="J9" s="248">
        <v>90</v>
      </c>
      <c r="K9" s="248"/>
      <c r="L9" s="248"/>
      <c r="M9" s="248"/>
      <c r="N9" s="248">
        <v>134.5</v>
      </c>
      <c r="O9" s="248"/>
      <c r="P9" s="248">
        <v>152</v>
      </c>
      <c r="Q9" s="248"/>
      <c r="R9" s="248"/>
      <c r="S9" s="147"/>
      <c r="T9" s="133"/>
      <c r="U9" s="133"/>
      <c r="V9" s="133"/>
      <c r="W9" s="133"/>
      <c r="X9" s="133"/>
      <c r="Y9" s="133"/>
      <c r="Z9" s="133"/>
      <c r="AA9" s="133"/>
      <c r="AB9" s="133"/>
      <c r="AC9" s="133">
        <v>59.5</v>
      </c>
      <c r="AD9" s="133">
        <v>99.5</v>
      </c>
      <c r="AE9" s="133"/>
      <c r="AF9" s="133"/>
      <c r="AG9" s="133"/>
      <c r="AH9" s="133"/>
      <c r="AI9" s="133"/>
      <c r="AJ9" s="133"/>
      <c r="AK9" s="133"/>
      <c r="AL9" s="133"/>
      <c r="AM9" s="133"/>
      <c r="AN9" s="133"/>
      <c r="AO9" s="133"/>
      <c r="AP9" s="133"/>
      <c r="AQ9" s="133"/>
      <c r="AR9" s="133"/>
      <c r="AS9" s="133"/>
      <c r="AT9" s="133"/>
      <c r="AU9" s="133"/>
      <c r="AV9" s="133">
        <v>107.5</v>
      </c>
      <c r="AW9" s="133"/>
      <c r="AX9" s="133"/>
      <c r="AY9" s="133"/>
      <c r="AZ9" s="190"/>
      <c r="BA9" s="190"/>
      <c r="BB9" s="190"/>
      <c r="BC9" s="190"/>
      <c r="BD9" s="190"/>
      <c r="BE9" s="190"/>
      <c r="BF9" s="190"/>
      <c r="BG9" s="190"/>
      <c r="BH9" s="133"/>
      <c r="BI9" s="84">
        <f t="shared" si="1"/>
        <v>898.5</v>
      </c>
    </row>
    <row r="10" spans="1:61" x14ac:dyDescent="0.3">
      <c r="A10" s="130">
        <v>7</v>
      </c>
      <c r="B10" s="186" t="s">
        <v>111</v>
      </c>
      <c r="C10" s="100">
        <f t="shared" si="0"/>
        <v>786</v>
      </c>
      <c r="D10" s="247">
        <v>2.5</v>
      </c>
      <c r="E10" s="248"/>
      <c r="F10" s="248">
        <v>50</v>
      </c>
      <c r="G10" s="248">
        <v>32.5</v>
      </c>
      <c r="H10" s="248">
        <v>35</v>
      </c>
      <c r="I10" s="248"/>
      <c r="J10" s="248">
        <v>32.5</v>
      </c>
      <c r="K10" s="248">
        <v>100</v>
      </c>
      <c r="L10" s="248"/>
      <c r="M10" s="248"/>
      <c r="N10" s="248">
        <v>85</v>
      </c>
      <c r="O10" s="248"/>
      <c r="P10" s="248">
        <v>67</v>
      </c>
      <c r="Q10" s="248">
        <v>87.5</v>
      </c>
      <c r="R10" s="248">
        <v>87.5</v>
      </c>
      <c r="S10" s="147"/>
      <c r="T10" s="133"/>
      <c r="U10" s="133"/>
      <c r="V10" s="133"/>
      <c r="W10" s="133"/>
      <c r="X10" s="133"/>
      <c r="Y10" s="133"/>
      <c r="Z10" s="133"/>
      <c r="AA10" s="133"/>
      <c r="AB10" s="133"/>
      <c r="AC10" s="133"/>
      <c r="AD10" s="133">
        <v>45.5</v>
      </c>
      <c r="AE10" s="133"/>
      <c r="AF10" s="133"/>
      <c r="AG10" s="133"/>
      <c r="AH10" s="133"/>
      <c r="AI10" s="133"/>
      <c r="AJ10" s="133"/>
      <c r="AK10" s="133"/>
      <c r="AL10" s="133"/>
      <c r="AM10" s="133"/>
      <c r="AN10" s="133"/>
      <c r="AO10" s="133"/>
      <c r="AP10" s="133"/>
      <c r="AQ10" s="133"/>
      <c r="AR10" s="133"/>
      <c r="AS10" s="133"/>
      <c r="AT10" s="133"/>
      <c r="AU10" s="133"/>
      <c r="AV10" s="133">
        <v>3.5</v>
      </c>
      <c r="AW10" s="133"/>
      <c r="AX10" s="133"/>
      <c r="AY10" s="133"/>
      <c r="AZ10" s="190"/>
      <c r="BA10" s="190"/>
      <c r="BB10" s="190"/>
      <c r="BC10" s="190">
        <v>73.5</v>
      </c>
      <c r="BD10" s="190"/>
      <c r="BE10" s="190"/>
      <c r="BF10" s="190"/>
      <c r="BG10" s="190"/>
      <c r="BH10" s="133">
        <v>84</v>
      </c>
      <c r="BI10" s="84">
        <f t="shared" si="1"/>
        <v>786</v>
      </c>
    </row>
    <row r="11" spans="1:61" x14ac:dyDescent="0.3">
      <c r="A11" s="116">
        <v>8</v>
      </c>
      <c r="B11" s="122" t="s">
        <v>103</v>
      </c>
      <c r="C11" s="100">
        <f t="shared" si="0"/>
        <v>783</v>
      </c>
      <c r="D11" s="247"/>
      <c r="E11" s="248">
        <v>17.5</v>
      </c>
      <c r="F11" s="248">
        <v>25</v>
      </c>
      <c r="G11" s="248">
        <v>7.5</v>
      </c>
      <c r="H11" s="248"/>
      <c r="I11" s="248">
        <v>39</v>
      </c>
      <c r="J11" s="248">
        <v>30</v>
      </c>
      <c r="K11" s="248">
        <v>40</v>
      </c>
      <c r="L11" s="248"/>
      <c r="M11" s="248">
        <v>12.5</v>
      </c>
      <c r="N11" s="248">
        <v>68.5</v>
      </c>
      <c r="O11" s="248"/>
      <c r="P11" s="248">
        <v>38</v>
      </c>
      <c r="Q11" s="248">
        <v>45</v>
      </c>
      <c r="R11" s="248">
        <v>67.5</v>
      </c>
      <c r="S11" s="147"/>
      <c r="T11" s="133"/>
      <c r="U11" s="133"/>
      <c r="V11" s="133"/>
      <c r="W11" s="133"/>
      <c r="X11" s="133"/>
      <c r="Y11" s="133"/>
      <c r="Z11" s="133"/>
      <c r="AA11" s="133"/>
      <c r="AB11" s="133"/>
      <c r="AC11" s="133">
        <v>73.5</v>
      </c>
      <c r="AD11" s="133"/>
      <c r="AE11" s="133"/>
      <c r="AF11" s="133"/>
      <c r="AG11" s="133"/>
      <c r="AH11" s="133"/>
      <c r="AI11" s="133"/>
      <c r="AJ11" s="133"/>
      <c r="AK11" s="133"/>
      <c r="AL11" s="133"/>
      <c r="AM11" s="133"/>
      <c r="AN11" s="133"/>
      <c r="AO11" s="133">
        <v>168.5</v>
      </c>
      <c r="AP11" s="133"/>
      <c r="AQ11" s="133"/>
      <c r="AR11" s="133"/>
      <c r="AS11" s="133"/>
      <c r="AT11" s="133"/>
      <c r="AU11" s="133"/>
      <c r="AV11" s="133"/>
      <c r="AW11" s="133"/>
      <c r="AX11" s="133"/>
      <c r="AY11" s="133"/>
      <c r="AZ11" s="190"/>
      <c r="BA11" s="190"/>
      <c r="BB11" s="190"/>
      <c r="BC11" s="190">
        <v>112</v>
      </c>
      <c r="BD11" s="190"/>
      <c r="BE11" s="190"/>
      <c r="BF11" s="190"/>
      <c r="BG11" s="190">
        <v>38.5</v>
      </c>
      <c r="BH11" s="133"/>
      <c r="BI11" s="84">
        <f t="shared" si="1"/>
        <v>783</v>
      </c>
    </row>
    <row r="12" spans="1:61" x14ac:dyDescent="0.3">
      <c r="A12" s="130">
        <v>9</v>
      </c>
      <c r="B12" s="186" t="s">
        <v>91</v>
      </c>
      <c r="C12" s="100">
        <f t="shared" si="0"/>
        <v>765</v>
      </c>
      <c r="D12" s="247">
        <v>45</v>
      </c>
      <c r="E12" s="248">
        <v>40</v>
      </c>
      <c r="F12" s="248">
        <v>55</v>
      </c>
      <c r="G12" s="248"/>
      <c r="H12" s="248">
        <v>17.5</v>
      </c>
      <c r="I12" s="248"/>
      <c r="J12" s="248"/>
      <c r="K12" s="248">
        <v>60</v>
      </c>
      <c r="L12" s="248"/>
      <c r="M12" s="248"/>
      <c r="N12" s="248"/>
      <c r="O12" s="248"/>
      <c r="P12" s="248"/>
      <c r="Q12" s="248"/>
      <c r="R12" s="248"/>
      <c r="S12" s="147"/>
      <c r="T12" s="133"/>
      <c r="U12" s="133"/>
      <c r="V12" s="133"/>
      <c r="W12" s="133"/>
      <c r="X12" s="133"/>
      <c r="Y12" s="133"/>
      <c r="Z12" s="133"/>
      <c r="AA12" s="133"/>
      <c r="AB12" s="133"/>
      <c r="AC12" s="133">
        <v>140.5</v>
      </c>
      <c r="AD12" s="133">
        <v>28</v>
      </c>
      <c r="AE12" s="133"/>
      <c r="AF12" s="133"/>
      <c r="AG12" s="133"/>
      <c r="AH12" s="133"/>
      <c r="AI12" s="133"/>
      <c r="AJ12" s="133"/>
      <c r="AK12" s="133"/>
      <c r="AL12" s="133"/>
      <c r="AM12" s="133">
        <v>66.5</v>
      </c>
      <c r="AN12" s="133"/>
      <c r="AO12" s="133"/>
      <c r="AP12" s="133"/>
      <c r="AQ12" s="133"/>
      <c r="AR12" s="133"/>
      <c r="AS12" s="133"/>
      <c r="AT12" s="133"/>
      <c r="AU12" s="133"/>
      <c r="AV12" s="133"/>
      <c r="AW12" s="133">
        <v>53.5</v>
      </c>
      <c r="AX12" s="133"/>
      <c r="AY12" s="133"/>
      <c r="AZ12" s="190"/>
      <c r="BA12" s="190"/>
      <c r="BB12" s="190"/>
      <c r="BC12" s="190"/>
      <c r="BD12" s="190">
        <v>58.5</v>
      </c>
      <c r="BE12" s="190">
        <v>78.5</v>
      </c>
      <c r="BF12" s="190">
        <v>8</v>
      </c>
      <c r="BG12" s="190">
        <v>34</v>
      </c>
      <c r="BH12" s="133">
        <v>80</v>
      </c>
      <c r="BI12" s="84">
        <f t="shared" si="1"/>
        <v>765</v>
      </c>
    </row>
    <row r="13" spans="1:61" x14ac:dyDescent="0.3">
      <c r="A13" s="116">
        <v>10</v>
      </c>
      <c r="B13" s="122" t="s">
        <v>123</v>
      </c>
      <c r="C13" s="100">
        <f t="shared" si="0"/>
        <v>671</v>
      </c>
      <c r="D13" s="247"/>
      <c r="E13" s="248"/>
      <c r="F13" s="248"/>
      <c r="G13" s="248"/>
      <c r="H13" s="248"/>
      <c r="I13" s="248"/>
      <c r="J13" s="248"/>
      <c r="K13" s="248"/>
      <c r="L13" s="248"/>
      <c r="M13" s="248"/>
      <c r="N13" s="248"/>
      <c r="O13" s="248"/>
      <c r="P13" s="248"/>
      <c r="Q13" s="248"/>
      <c r="R13" s="248"/>
      <c r="S13" s="147"/>
      <c r="T13" s="133">
        <v>220</v>
      </c>
      <c r="U13" s="133"/>
      <c r="V13" s="133">
        <v>11</v>
      </c>
      <c r="W13" s="133"/>
      <c r="X13" s="133">
        <v>143</v>
      </c>
      <c r="Y13" s="133"/>
      <c r="Z13" s="133">
        <v>152</v>
      </c>
      <c r="AA13" s="133"/>
      <c r="AB13" s="133">
        <v>83.5</v>
      </c>
      <c r="AC13" s="133"/>
      <c r="AD13" s="133"/>
      <c r="AE13" s="133"/>
      <c r="AF13" s="133"/>
      <c r="AG13" s="133"/>
      <c r="AH13" s="133"/>
      <c r="AI13" s="133"/>
      <c r="AJ13" s="133"/>
      <c r="AK13" s="133"/>
      <c r="AL13" s="133"/>
      <c r="AM13" s="133"/>
      <c r="AN13" s="133"/>
      <c r="AO13" s="133"/>
      <c r="AP13" s="133"/>
      <c r="AQ13" s="133"/>
      <c r="AR13" s="133"/>
      <c r="AS13" s="133"/>
      <c r="AT13" s="133"/>
      <c r="AU13" s="133">
        <v>40.5</v>
      </c>
      <c r="AV13" s="133"/>
      <c r="AW13" s="133"/>
      <c r="AX13" s="133"/>
      <c r="AY13" s="133"/>
      <c r="AZ13" s="190">
        <v>21</v>
      </c>
      <c r="BA13" s="190"/>
      <c r="BB13" s="190"/>
      <c r="BC13" s="190"/>
      <c r="BD13" s="190"/>
      <c r="BE13" s="190"/>
      <c r="BF13" s="190"/>
      <c r="BG13" s="190"/>
      <c r="BH13" s="133"/>
      <c r="BI13" s="84">
        <f t="shared" si="1"/>
        <v>671</v>
      </c>
    </row>
    <row r="14" spans="1:61" x14ac:dyDescent="0.3">
      <c r="A14" s="130">
        <v>11</v>
      </c>
      <c r="B14" s="122" t="s">
        <v>90</v>
      </c>
      <c r="C14" s="100">
        <f t="shared" si="0"/>
        <v>648.5</v>
      </c>
      <c r="D14" s="247">
        <v>12.5</v>
      </c>
      <c r="E14" s="248"/>
      <c r="F14" s="248"/>
      <c r="G14" s="248"/>
      <c r="H14" s="248">
        <v>12.5</v>
      </c>
      <c r="I14" s="248"/>
      <c r="J14" s="248">
        <v>102.5</v>
      </c>
      <c r="K14" s="248">
        <v>40</v>
      </c>
      <c r="L14" s="248"/>
      <c r="M14" s="248"/>
      <c r="N14" s="248">
        <v>84.5</v>
      </c>
      <c r="O14" s="248"/>
      <c r="P14" s="248"/>
      <c r="Q14" s="248"/>
      <c r="R14" s="248"/>
      <c r="S14" s="147"/>
      <c r="T14" s="133"/>
      <c r="U14" s="133"/>
      <c r="V14" s="133"/>
      <c r="W14" s="133">
        <v>5</v>
      </c>
      <c r="X14" s="133"/>
      <c r="Y14" s="133"/>
      <c r="Z14" s="133"/>
      <c r="AA14" s="133">
        <v>72</v>
      </c>
      <c r="AB14" s="133"/>
      <c r="AC14" s="133">
        <v>67.5</v>
      </c>
      <c r="AD14" s="133">
        <v>81.5</v>
      </c>
      <c r="AE14" s="133"/>
      <c r="AF14" s="133"/>
      <c r="AG14" s="133"/>
      <c r="AH14" s="133"/>
      <c r="AI14" s="133"/>
      <c r="AJ14" s="133"/>
      <c r="AK14" s="133"/>
      <c r="AL14" s="133">
        <v>50</v>
      </c>
      <c r="AM14" s="133"/>
      <c r="AN14" s="133"/>
      <c r="AO14" s="133"/>
      <c r="AP14" s="133"/>
      <c r="AQ14" s="133">
        <v>78</v>
      </c>
      <c r="AR14" s="133"/>
      <c r="AS14" s="133">
        <v>5</v>
      </c>
      <c r="AT14" s="133"/>
      <c r="AU14" s="133"/>
      <c r="AV14" s="133"/>
      <c r="AW14" s="133"/>
      <c r="AX14" s="133"/>
      <c r="AY14" s="133"/>
      <c r="AZ14" s="190"/>
      <c r="BA14" s="190"/>
      <c r="BB14" s="190"/>
      <c r="BC14" s="190">
        <v>17.5</v>
      </c>
      <c r="BD14" s="190"/>
      <c r="BE14" s="190"/>
      <c r="BF14" s="190">
        <v>20</v>
      </c>
      <c r="BG14" s="190"/>
      <c r="BH14" s="133"/>
      <c r="BI14" s="84">
        <f t="shared" si="1"/>
        <v>648.5</v>
      </c>
    </row>
    <row r="15" spans="1:61" x14ac:dyDescent="0.3">
      <c r="A15" s="116">
        <v>12</v>
      </c>
      <c r="B15" s="122" t="s">
        <v>127</v>
      </c>
      <c r="C15" s="100">
        <f t="shared" si="0"/>
        <v>575.5</v>
      </c>
      <c r="D15" s="247"/>
      <c r="E15" s="248"/>
      <c r="F15" s="248"/>
      <c r="G15" s="248"/>
      <c r="H15" s="248"/>
      <c r="I15" s="248"/>
      <c r="J15" s="248"/>
      <c r="K15" s="248"/>
      <c r="L15" s="248"/>
      <c r="M15" s="248"/>
      <c r="N15" s="248"/>
      <c r="O15" s="248"/>
      <c r="P15" s="248"/>
      <c r="Q15" s="248"/>
      <c r="R15" s="248"/>
      <c r="S15" s="147">
        <v>38.5</v>
      </c>
      <c r="T15" s="133"/>
      <c r="U15" s="133"/>
      <c r="V15" s="133"/>
      <c r="W15" s="133"/>
      <c r="X15" s="133"/>
      <c r="Y15" s="133"/>
      <c r="Z15" s="133"/>
      <c r="AA15" s="133"/>
      <c r="AB15" s="133"/>
      <c r="AC15" s="133">
        <v>75</v>
      </c>
      <c r="AD15" s="133">
        <v>108</v>
      </c>
      <c r="AE15" s="133"/>
      <c r="AF15" s="133">
        <v>36</v>
      </c>
      <c r="AG15" s="133"/>
      <c r="AH15" s="133"/>
      <c r="AI15" s="133"/>
      <c r="AJ15" s="133">
        <v>36</v>
      </c>
      <c r="AK15" s="133"/>
      <c r="AL15" s="133">
        <v>15</v>
      </c>
      <c r="AM15" s="133"/>
      <c r="AN15" s="133"/>
      <c r="AO15" s="133"/>
      <c r="AP15" s="133"/>
      <c r="AQ15" s="133">
        <v>150</v>
      </c>
      <c r="AR15" s="133"/>
      <c r="AS15" s="133">
        <v>5</v>
      </c>
      <c r="AT15" s="133"/>
      <c r="AU15" s="133"/>
      <c r="AV15" s="133"/>
      <c r="AW15" s="133"/>
      <c r="AX15" s="133"/>
      <c r="AY15" s="133"/>
      <c r="AZ15" s="190"/>
      <c r="BA15" s="190"/>
      <c r="BB15" s="190"/>
      <c r="BC15" s="190">
        <v>71.5</v>
      </c>
      <c r="BD15" s="190"/>
      <c r="BE15" s="190"/>
      <c r="BF15" s="190"/>
      <c r="BG15" s="190"/>
      <c r="BH15" s="133">
        <v>40.5</v>
      </c>
      <c r="BI15" s="84">
        <f t="shared" si="1"/>
        <v>575.5</v>
      </c>
    </row>
    <row r="16" spans="1:61" x14ac:dyDescent="0.3">
      <c r="A16" s="130">
        <v>13</v>
      </c>
      <c r="B16" s="122" t="s">
        <v>112</v>
      </c>
      <c r="C16" s="100">
        <f t="shared" si="0"/>
        <v>431.5</v>
      </c>
      <c r="D16" s="247"/>
      <c r="E16" s="248"/>
      <c r="F16" s="248"/>
      <c r="G16" s="248"/>
      <c r="H16" s="248">
        <v>92.5</v>
      </c>
      <c r="I16" s="248">
        <v>31</v>
      </c>
      <c r="J16" s="248">
        <v>52.5</v>
      </c>
      <c r="K16" s="248"/>
      <c r="L16" s="248"/>
      <c r="M16" s="248"/>
      <c r="N16" s="248">
        <v>22.5</v>
      </c>
      <c r="O16" s="248"/>
      <c r="P16" s="248">
        <v>93</v>
      </c>
      <c r="Q16" s="248"/>
      <c r="R16" s="248"/>
      <c r="S16" s="147"/>
      <c r="T16" s="133"/>
      <c r="U16" s="133"/>
      <c r="V16" s="133"/>
      <c r="W16" s="133"/>
      <c r="X16" s="133"/>
      <c r="Y16" s="133"/>
      <c r="Z16" s="133"/>
      <c r="AA16" s="133"/>
      <c r="AB16" s="133"/>
      <c r="AC16" s="133">
        <v>24.5</v>
      </c>
      <c r="AD16" s="133">
        <v>80.5</v>
      </c>
      <c r="AE16" s="133"/>
      <c r="AF16" s="133"/>
      <c r="AG16" s="133"/>
      <c r="AH16" s="133"/>
      <c r="AI16" s="133"/>
      <c r="AJ16" s="133"/>
      <c r="AK16" s="133"/>
      <c r="AL16" s="133"/>
      <c r="AM16" s="133"/>
      <c r="AN16" s="133"/>
      <c r="AO16" s="133"/>
      <c r="AP16" s="133"/>
      <c r="AQ16" s="133"/>
      <c r="AR16" s="133"/>
      <c r="AS16" s="133"/>
      <c r="AT16" s="133"/>
      <c r="AU16" s="133"/>
      <c r="AV16" s="133">
        <v>35</v>
      </c>
      <c r="AW16" s="133"/>
      <c r="AX16" s="133"/>
      <c r="AY16" s="133"/>
      <c r="AZ16" s="190"/>
      <c r="BA16" s="190"/>
      <c r="BB16" s="190"/>
      <c r="BC16" s="190"/>
      <c r="BD16" s="190"/>
      <c r="BE16" s="190"/>
      <c r="BF16" s="190"/>
      <c r="BG16" s="190"/>
      <c r="BH16" s="133"/>
      <c r="BI16" s="84">
        <f t="shared" si="1"/>
        <v>431.5</v>
      </c>
    </row>
    <row r="17" spans="1:72" x14ac:dyDescent="0.3">
      <c r="A17" s="116">
        <v>14</v>
      </c>
      <c r="B17" s="186" t="s">
        <v>124</v>
      </c>
      <c r="C17" s="100">
        <f t="shared" si="0"/>
        <v>402.5</v>
      </c>
      <c r="D17" s="247"/>
      <c r="E17" s="248"/>
      <c r="F17" s="248"/>
      <c r="G17" s="248"/>
      <c r="H17" s="248"/>
      <c r="I17" s="248"/>
      <c r="J17" s="248"/>
      <c r="K17" s="248"/>
      <c r="L17" s="248"/>
      <c r="M17" s="248"/>
      <c r="N17" s="248"/>
      <c r="O17" s="248"/>
      <c r="P17" s="248"/>
      <c r="Q17" s="248"/>
      <c r="R17" s="248"/>
      <c r="S17" s="147"/>
      <c r="T17" s="133"/>
      <c r="U17" s="133"/>
      <c r="V17" s="133"/>
      <c r="W17" s="133"/>
      <c r="X17" s="133"/>
      <c r="Y17" s="133"/>
      <c r="Z17" s="133"/>
      <c r="AA17" s="133"/>
      <c r="AB17" s="133"/>
      <c r="AC17" s="133"/>
      <c r="AD17" s="133"/>
      <c r="AE17" s="133"/>
      <c r="AF17" s="133"/>
      <c r="AG17" s="133"/>
      <c r="AH17" s="133"/>
      <c r="AI17" s="133"/>
      <c r="AJ17" s="133"/>
      <c r="AK17" s="133"/>
      <c r="AL17" s="133">
        <v>42</v>
      </c>
      <c r="AM17" s="133"/>
      <c r="AN17" s="133"/>
      <c r="AO17" s="133"/>
      <c r="AP17" s="133"/>
      <c r="AQ17" s="133"/>
      <c r="AR17" s="133"/>
      <c r="AS17" s="133"/>
      <c r="AT17" s="133">
        <v>63</v>
      </c>
      <c r="AU17" s="133"/>
      <c r="AV17" s="133"/>
      <c r="AW17" s="133"/>
      <c r="AX17" s="133">
        <v>189</v>
      </c>
      <c r="AY17" s="133">
        <v>108.5</v>
      </c>
      <c r="AZ17" s="190"/>
      <c r="BA17" s="190"/>
      <c r="BB17" s="190"/>
      <c r="BC17" s="190"/>
      <c r="BD17" s="190"/>
      <c r="BE17" s="190"/>
      <c r="BF17" s="190"/>
      <c r="BG17" s="190"/>
      <c r="BH17" s="133"/>
      <c r="BI17" s="84">
        <f t="shared" si="1"/>
        <v>402.5</v>
      </c>
    </row>
    <row r="18" spans="1:72" x14ac:dyDescent="0.3">
      <c r="A18" s="130">
        <v>15</v>
      </c>
      <c r="B18" s="186" t="s">
        <v>129</v>
      </c>
      <c r="C18" s="100">
        <f t="shared" si="0"/>
        <v>385</v>
      </c>
      <c r="D18" s="247">
        <v>35</v>
      </c>
      <c r="E18" s="248"/>
      <c r="F18" s="248"/>
      <c r="G18" s="248">
        <v>22.5</v>
      </c>
      <c r="H18" s="248"/>
      <c r="I18" s="248">
        <v>5</v>
      </c>
      <c r="J18" s="248"/>
      <c r="K18" s="248">
        <v>7.5</v>
      </c>
      <c r="L18" s="248">
        <v>25</v>
      </c>
      <c r="M18" s="248"/>
      <c r="N18" s="248">
        <v>52.5</v>
      </c>
      <c r="O18" s="248"/>
      <c r="P18" s="248">
        <v>56</v>
      </c>
      <c r="Q18" s="248">
        <v>27.5</v>
      </c>
      <c r="R18" s="248"/>
      <c r="S18" s="147"/>
      <c r="T18" s="133"/>
      <c r="U18" s="133"/>
      <c r="V18" s="133"/>
      <c r="W18" s="133"/>
      <c r="X18" s="133"/>
      <c r="Y18" s="133"/>
      <c r="Z18" s="133"/>
      <c r="AA18" s="133"/>
      <c r="AB18" s="133"/>
      <c r="AC18" s="133">
        <v>24.5</v>
      </c>
      <c r="AD18" s="133">
        <v>108.5</v>
      </c>
      <c r="AE18" s="133"/>
      <c r="AF18" s="133"/>
      <c r="AG18" s="133"/>
      <c r="AH18" s="133"/>
      <c r="AI18" s="133"/>
      <c r="AJ18" s="133"/>
      <c r="AK18" s="133"/>
      <c r="AL18" s="133"/>
      <c r="AM18" s="133"/>
      <c r="AN18" s="133"/>
      <c r="AO18" s="133"/>
      <c r="AP18" s="133"/>
      <c r="AQ18" s="133"/>
      <c r="AR18" s="133"/>
      <c r="AS18" s="133"/>
      <c r="AT18" s="133"/>
      <c r="AU18" s="133"/>
      <c r="AV18" s="133"/>
      <c r="AW18" s="133"/>
      <c r="AX18" s="133"/>
      <c r="AY18" s="133"/>
      <c r="AZ18" s="190"/>
      <c r="BA18" s="190"/>
      <c r="BB18" s="190"/>
      <c r="BC18" s="190"/>
      <c r="BD18" s="190"/>
      <c r="BE18" s="190"/>
      <c r="BF18" s="190"/>
      <c r="BG18" s="190">
        <v>21</v>
      </c>
      <c r="BH18" s="133"/>
      <c r="BI18" s="84">
        <f t="shared" si="1"/>
        <v>385</v>
      </c>
    </row>
    <row r="19" spans="1:72" x14ac:dyDescent="0.3">
      <c r="A19" s="116">
        <v>16</v>
      </c>
      <c r="B19" s="186" t="s">
        <v>86</v>
      </c>
      <c r="C19" s="100">
        <f t="shared" si="0"/>
        <v>365</v>
      </c>
      <c r="D19" s="247"/>
      <c r="E19" s="248">
        <v>25</v>
      </c>
      <c r="F19" s="248"/>
      <c r="G19" s="248"/>
      <c r="H19" s="248">
        <v>7.5</v>
      </c>
      <c r="I19" s="248"/>
      <c r="J19" s="248">
        <v>2.5</v>
      </c>
      <c r="K19" s="248"/>
      <c r="L19" s="248">
        <v>10</v>
      </c>
      <c r="M19" s="248"/>
      <c r="N19" s="248">
        <v>27.5</v>
      </c>
      <c r="O19" s="248"/>
      <c r="P19" s="248">
        <v>52.5</v>
      </c>
      <c r="Q19" s="248"/>
      <c r="R19" s="248">
        <v>30</v>
      </c>
      <c r="S19" s="147"/>
      <c r="T19" s="133"/>
      <c r="U19" s="133"/>
      <c r="V19" s="133"/>
      <c r="W19" s="133"/>
      <c r="X19" s="133"/>
      <c r="Y19" s="133"/>
      <c r="Z19" s="133"/>
      <c r="AA19" s="133"/>
      <c r="AB19" s="133"/>
      <c r="AC19" s="133">
        <v>91</v>
      </c>
      <c r="AD19" s="133">
        <v>28</v>
      </c>
      <c r="AE19" s="133"/>
      <c r="AF19" s="133"/>
      <c r="AG19" s="133"/>
      <c r="AH19" s="133"/>
      <c r="AI19" s="133"/>
      <c r="AJ19" s="133"/>
      <c r="AK19" s="133"/>
      <c r="AL19" s="133"/>
      <c r="AM19" s="133"/>
      <c r="AN19" s="133"/>
      <c r="AO19" s="133"/>
      <c r="AP19" s="133"/>
      <c r="AQ19" s="133"/>
      <c r="AR19" s="133"/>
      <c r="AS19" s="133"/>
      <c r="AT19" s="133"/>
      <c r="AU19" s="133"/>
      <c r="AV19" s="133"/>
      <c r="AW19" s="133">
        <v>45.5</v>
      </c>
      <c r="AX19" s="133"/>
      <c r="AY19" s="133"/>
      <c r="AZ19" s="190"/>
      <c r="BA19" s="190"/>
      <c r="BB19" s="190"/>
      <c r="BC19" s="190"/>
      <c r="BD19" s="190"/>
      <c r="BE19" s="190"/>
      <c r="BF19" s="190"/>
      <c r="BG19" s="190"/>
      <c r="BH19" s="133">
        <v>45.5</v>
      </c>
      <c r="BI19" s="84">
        <f t="shared" si="1"/>
        <v>365</v>
      </c>
    </row>
    <row r="20" spans="1:72" x14ac:dyDescent="0.3">
      <c r="A20" s="130">
        <v>17</v>
      </c>
      <c r="B20" s="122" t="s">
        <v>128</v>
      </c>
      <c r="C20" s="100">
        <f t="shared" si="0"/>
        <v>255.5</v>
      </c>
      <c r="D20" s="247"/>
      <c r="E20" s="248"/>
      <c r="F20" s="248"/>
      <c r="G20" s="248"/>
      <c r="H20" s="248"/>
      <c r="I20" s="248"/>
      <c r="J20" s="248"/>
      <c r="K20" s="248"/>
      <c r="L20" s="248"/>
      <c r="M20" s="248"/>
      <c r="N20" s="248"/>
      <c r="O20" s="248"/>
      <c r="P20" s="248"/>
      <c r="Q20" s="248"/>
      <c r="R20" s="248"/>
      <c r="S20" s="147"/>
      <c r="T20" s="133"/>
      <c r="U20" s="133">
        <v>70</v>
      </c>
      <c r="V20" s="133"/>
      <c r="W20" s="133"/>
      <c r="X20" s="133"/>
      <c r="Y20" s="133">
        <v>28</v>
      </c>
      <c r="Z20" s="133"/>
      <c r="AA20" s="133"/>
      <c r="AB20" s="133"/>
      <c r="AC20" s="133"/>
      <c r="AD20" s="133"/>
      <c r="AE20" s="133">
        <v>136.5</v>
      </c>
      <c r="AF20" s="133"/>
      <c r="AG20" s="133"/>
      <c r="AH20" s="133"/>
      <c r="AI20" s="133"/>
      <c r="AJ20" s="133"/>
      <c r="AK20" s="133"/>
      <c r="AL20" s="133"/>
      <c r="AM20" s="133"/>
      <c r="AN20" s="133"/>
      <c r="AO20" s="133"/>
      <c r="AP20" s="133">
        <v>21</v>
      </c>
      <c r="AQ20" s="133"/>
      <c r="AR20" s="133"/>
      <c r="AS20" s="133"/>
      <c r="AT20" s="133"/>
      <c r="AU20" s="133"/>
      <c r="AV20" s="133"/>
      <c r="AW20" s="133"/>
      <c r="AX20" s="133"/>
      <c r="AY20" s="133"/>
      <c r="AZ20" s="190"/>
      <c r="BA20" s="190"/>
      <c r="BB20" s="190"/>
      <c r="BC20" s="190"/>
      <c r="BD20" s="190"/>
      <c r="BE20" s="190"/>
      <c r="BF20" s="190"/>
      <c r="BG20" s="190"/>
      <c r="BH20" s="133"/>
      <c r="BI20" s="84">
        <f t="shared" si="1"/>
        <v>255.5</v>
      </c>
    </row>
    <row r="21" spans="1:72" x14ac:dyDescent="0.3">
      <c r="A21" s="116">
        <v>18</v>
      </c>
      <c r="B21" s="122" t="s">
        <v>104</v>
      </c>
      <c r="C21" s="100">
        <f t="shared" si="0"/>
        <v>247</v>
      </c>
      <c r="D21" s="247"/>
      <c r="E21" s="248"/>
      <c r="F21" s="248">
        <v>32.5</v>
      </c>
      <c r="G21" s="248"/>
      <c r="H21" s="248"/>
      <c r="I21" s="248"/>
      <c r="J21" s="248">
        <v>57.5</v>
      </c>
      <c r="K21" s="248"/>
      <c r="L21" s="248"/>
      <c r="M21" s="248"/>
      <c r="N21" s="248"/>
      <c r="O21" s="248"/>
      <c r="P21" s="248">
        <v>21</v>
      </c>
      <c r="Q21" s="248">
        <v>47.5</v>
      </c>
      <c r="R21" s="248">
        <v>15</v>
      </c>
      <c r="S21" s="147"/>
      <c r="T21" s="133"/>
      <c r="U21" s="133"/>
      <c r="V21" s="133"/>
      <c r="W21" s="133"/>
      <c r="X21" s="133"/>
      <c r="Y21" s="133"/>
      <c r="Z21" s="133"/>
      <c r="AA21" s="133"/>
      <c r="AB21" s="133"/>
      <c r="AC21" s="133"/>
      <c r="AD21" s="133"/>
      <c r="AE21" s="133"/>
      <c r="AF21" s="133"/>
      <c r="AG21" s="133"/>
      <c r="AH21" s="133"/>
      <c r="AI21" s="133"/>
      <c r="AJ21" s="133"/>
      <c r="AK21" s="133"/>
      <c r="AL21" s="133"/>
      <c r="AM21" s="133"/>
      <c r="AN21" s="133"/>
      <c r="AO21" s="133">
        <v>73.5</v>
      </c>
      <c r="AP21" s="133"/>
      <c r="AQ21" s="133"/>
      <c r="AR21" s="133"/>
      <c r="AS21" s="133"/>
      <c r="AT21" s="133"/>
      <c r="AU21" s="133"/>
      <c r="AV21" s="133"/>
      <c r="AW21" s="133"/>
      <c r="AX21" s="133"/>
      <c r="AY21" s="133"/>
      <c r="AZ21" s="190"/>
      <c r="BA21" s="190"/>
      <c r="BB21" s="190"/>
      <c r="BC21" s="190"/>
      <c r="BD21" s="190"/>
      <c r="BE21" s="190"/>
      <c r="BF21" s="190"/>
      <c r="BG21" s="190"/>
      <c r="BH21" s="133"/>
      <c r="BI21" s="84">
        <f t="shared" si="1"/>
        <v>247</v>
      </c>
    </row>
    <row r="22" spans="1:72" x14ac:dyDescent="0.3">
      <c r="A22" s="130">
        <v>19</v>
      </c>
      <c r="B22" s="122" t="s">
        <v>114</v>
      </c>
      <c r="C22" s="100">
        <f t="shared" si="0"/>
        <v>196</v>
      </c>
      <c r="D22" s="247"/>
      <c r="E22" s="248"/>
      <c r="F22" s="248"/>
      <c r="G22" s="248"/>
      <c r="H22" s="248"/>
      <c r="I22" s="248"/>
      <c r="J22" s="248"/>
      <c r="K22" s="248"/>
      <c r="L22" s="248">
        <v>37.5</v>
      </c>
      <c r="M22" s="248"/>
      <c r="N22" s="248">
        <v>80</v>
      </c>
      <c r="O22" s="248"/>
      <c r="P22" s="248"/>
      <c r="Q22" s="248"/>
      <c r="R22" s="248">
        <v>5</v>
      </c>
      <c r="S22" s="147"/>
      <c r="T22" s="133"/>
      <c r="U22" s="133"/>
      <c r="V22" s="133"/>
      <c r="W22" s="133"/>
      <c r="X22" s="133"/>
      <c r="Y22" s="133"/>
      <c r="Z22" s="133"/>
      <c r="AA22" s="133"/>
      <c r="AB22" s="133"/>
      <c r="AC22" s="133">
        <v>73.5</v>
      </c>
      <c r="AD22" s="133"/>
      <c r="AE22" s="133"/>
      <c r="AF22" s="133"/>
      <c r="AG22" s="133"/>
      <c r="AH22" s="133"/>
      <c r="AI22" s="133"/>
      <c r="AJ22" s="133"/>
      <c r="AK22" s="133"/>
      <c r="AL22" s="133"/>
      <c r="AM22" s="133"/>
      <c r="AN22" s="133"/>
      <c r="AO22" s="133"/>
      <c r="AP22" s="133"/>
      <c r="AQ22" s="133"/>
      <c r="AR22" s="133"/>
      <c r="AS22" s="133"/>
      <c r="AT22" s="133"/>
      <c r="AU22" s="133"/>
      <c r="AV22" s="133"/>
      <c r="AW22" s="133"/>
      <c r="AX22" s="133"/>
      <c r="AY22" s="133"/>
      <c r="AZ22" s="190"/>
      <c r="BA22" s="190"/>
      <c r="BB22" s="190"/>
      <c r="BC22" s="190"/>
      <c r="BD22" s="190"/>
      <c r="BE22" s="190"/>
      <c r="BF22" s="190"/>
      <c r="BG22" s="190"/>
      <c r="BH22" s="133"/>
      <c r="BI22" s="84">
        <f t="shared" si="1"/>
        <v>196</v>
      </c>
    </row>
    <row r="23" spans="1:72" x14ac:dyDescent="0.3">
      <c r="A23" s="116">
        <v>20</v>
      </c>
      <c r="B23" s="186" t="s">
        <v>122</v>
      </c>
      <c r="C23" s="100">
        <f t="shared" si="0"/>
        <v>190</v>
      </c>
      <c r="D23" s="247"/>
      <c r="E23" s="248"/>
      <c r="F23" s="248"/>
      <c r="G23" s="248"/>
      <c r="H23" s="248"/>
      <c r="I23" s="248"/>
      <c r="J23" s="248"/>
      <c r="K23" s="248"/>
      <c r="L23" s="248"/>
      <c r="M23" s="248"/>
      <c r="N23" s="248"/>
      <c r="O23" s="248"/>
      <c r="P23" s="248"/>
      <c r="Q23" s="248">
        <v>50</v>
      </c>
      <c r="R23" s="248"/>
      <c r="S23" s="147"/>
      <c r="T23" s="133"/>
      <c r="U23" s="133"/>
      <c r="V23" s="133"/>
      <c r="W23" s="133"/>
      <c r="X23" s="133"/>
      <c r="Y23" s="133"/>
      <c r="Z23" s="133"/>
      <c r="AA23" s="133"/>
      <c r="AB23" s="133"/>
      <c r="AC23" s="133"/>
      <c r="AD23" s="133"/>
      <c r="AE23" s="133"/>
      <c r="AF23" s="133"/>
      <c r="AG23" s="133"/>
      <c r="AH23" s="133"/>
      <c r="AI23" s="133"/>
      <c r="AJ23" s="133"/>
      <c r="AK23" s="133"/>
      <c r="AL23" s="133"/>
      <c r="AM23" s="133"/>
      <c r="AN23" s="133"/>
      <c r="AO23" s="133"/>
      <c r="AP23" s="133"/>
      <c r="AQ23" s="133"/>
      <c r="AR23" s="133"/>
      <c r="AS23" s="133"/>
      <c r="AT23" s="133"/>
      <c r="AU23" s="133"/>
      <c r="AV23" s="133"/>
      <c r="AW23" s="133"/>
      <c r="AX23" s="133"/>
      <c r="AY23" s="133"/>
      <c r="AZ23" s="190"/>
      <c r="BA23" s="190"/>
      <c r="BB23" s="190"/>
      <c r="BC23" s="190">
        <v>140</v>
      </c>
      <c r="BD23" s="190"/>
      <c r="BE23" s="190"/>
      <c r="BF23" s="190"/>
      <c r="BG23" s="190"/>
      <c r="BH23" s="133"/>
      <c r="BI23" s="84">
        <f t="shared" si="1"/>
        <v>190</v>
      </c>
    </row>
    <row r="24" spans="1:72" x14ac:dyDescent="0.3">
      <c r="A24" s="130">
        <v>21</v>
      </c>
      <c r="B24" s="122" t="s">
        <v>106</v>
      </c>
      <c r="C24" s="100">
        <f t="shared" si="0"/>
        <v>159.5</v>
      </c>
      <c r="D24" s="247">
        <v>45</v>
      </c>
      <c r="E24" s="248"/>
      <c r="F24" s="248"/>
      <c r="G24" s="248"/>
      <c r="H24" s="248">
        <v>5</v>
      </c>
      <c r="I24" s="248"/>
      <c r="J24" s="248"/>
      <c r="K24" s="248"/>
      <c r="L24" s="248">
        <v>30</v>
      </c>
      <c r="M24" s="248"/>
      <c r="N24" s="248">
        <v>50</v>
      </c>
      <c r="O24" s="248"/>
      <c r="P24" s="248">
        <v>29.5</v>
      </c>
      <c r="Q24" s="248"/>
      <c r="R24" s="248"/>
      <c r="S24" s="147"/>
      <c r="T24" s="133"/>
      <c r="U24" s="133"/>
      <c r="V24" s="133"/>
      <c r="W24" s="133"/>
      <c r="X24" s="133"/>
      <c r="Y24" s="133"/>
      <c r="Z24" s="133"/>
      <c r="AA24" s="133"/>
      <c r="AB24" s="133"/>
      <c r="AC24" s="133"/>
      <c r="AD24" s="133"/>
      <c r="AE24" s="133"/>
      <c r="AF24" s="133"/>
      <c r="AG24" s="133"/>
      <c r="AH24" s="133"/>
      <c r="AI24" s="133"/>
      <c r="AJ24" s="133"/>
      <c r="AK24" s="133"/>
      <c r="AL24" s="133"/>
      <c r="AM24" s="133"/>
      <c r="AN24" s="133"/>
      <c r="AO24" s="133"/>
      <c r="AP24" s="133"/>
      <c r="AQ24" s="133"/>
      <c r="AR24" s="133"/>
      <c r="AS24" s="133"/>
      <c r="AT24" s="133"/>
      <c r="AU24" s="133"/>
      <c r="AV24" s="133"/>
      <c r="AW24" s="133"/>
      <c r="AX24" s="133"/>
      <c r="AY24" s="133"/>
      <c r="AZ24" s="190"/>
      <c r="BA24" s="190"/>
      <c r="BB24" s="190"/>
      <c r="BC24" s="190"/>
      <c r="BD24" s="190"/>
      <c r="BE24" s="190"/>
      <c r="BF24" s="190"/>
      <c r="BG24" s="190"/>
      <c r="BH24" s="133"/>
      <c r="BI24" s="84">
        <f t="shared" si="1"/>
        <v>159.5</v>
      </c>
    </row>
    <row r="25" spans="1:72" x14ac:dyDescent="0.3">
      <c r="A25" s="116">
        <v>22</v>
      </c>
      <c r="B25" s="122" t="s">
        <v>107</v>
      </c>
      <c r="C25" s="100">
        <f t="shared" si="0"/>
        <v>108.5</v>
      </c>
      <c r="D25" s="247"/>
      <c r="E25" s="248"/>
      <c r="F25" s="248"/>
      <c r="G25" s="249"/>
      <c r="H25" s="249"/>
      <c r="I25" s="249">
        <v>12</v>
      </c>
      <c r="J25" s="249"/>
      <c r="K25" s="249"/>
      <c r="L25" s="249">
        <v>12.5</v>
      </c>
      <c r="M25" s="248"/>
      <c r="N25" s="248"/>
      <c r="O25" s="248"/>
      <c r="P25" s="248">
        <v>3.5</v>
      </c>
      <c r="Q25" s="248"/>
      <c r="R25" s="248"/>
      <c r="S25" s="147"/>
      <c r="T25" s="133"/>
      <c r="U25" s="133"/>
      <c r="V25" s="133"/>
      <c r="W25" s="133"/>
      <c r="X25" s="133"/>
      <c r="Y25" s="133"/>
      <c r="Z25" s="133"/>
      <c r="AA25" s="133"/>
      <c r="AB25" s="133"/>
      <c r="AC25" s="133">
        <v>66.5</v>
      </c>
      <c r="AD25" s="133">
        <v>14</v>
      </c>
      <c r="AE25" s="133"/>
      <c r="AF25" s="133"/>
      <c r="AG25" s="133"/>
      <c r="AH25" s="133"/>
      <c r="AI25" s="133"/>
      <c r="AJ25" s="133"/>
      <c r="AK25" s="133"/>
      <c r="AL25" s="133"/>
      <c r="AM25" s="133"/>
      <c r="AN25" s="133"/>
      <c r="AO25" s="133"/>
      <c r="AP25" s="133"/>
      <c r="AQ25" s="133"/>
      <c r="AR25" s="133"/>
      <c r="AS25" s="133"/>
      <c r="AT25" s="133"/>
      <c r="AU25" s="133"/>
      <c r="AV25" s="133"/>
      <c r="AW25" s="133"/>
      <c r="AX25" s="133"/>
      <c r="AY25" s="133"/>
      <c r="AZ25" s="190"/>
      <c r="BA25" s="190"/>
      <c r="BB25" s="190"/>
      <c r="BC25" s="190"/>
      <c r="BD25" s="190"/>
      <c r="BE25" s="190"/>
      <c r="BF25" s="190"/>
      <c r="BG25" s="190"/>
      <c r="BH25" s="133"/>
      <c r="BI25" s="84">
        <f t="shared" si="1"/>
        <v>108.5</v>
      </c>
    </row>
    <row r="26" spans="1:72" x14ac:dyDescent="0.3">
      <c r="A26" s="130">
        <v>23</v>
      </c>
      <c r="B26" s="122" t="s">
        <v>113</v>
      </c>
      <c r="C26" s="100">
        <f t="shared" si="0"/>
        <v>89.5</v>
      </c>
      <c r="D26" s="247"/>
      <c r="E26" s="248"/>
      <c r="F26" s="248"/>
      <c r="G26" s="248"/>
      <c r="H26" s="248"/>
      <c r="I26" s="248"/>
      <c r="J26" s="248"/>
      <c r="K26" s="248">
        <v>20</v>
      </c>
      <c r="L26" s="248"/>
      <c r="M26" s="248"/>
      <c r="N26" s="248"/>
      <c r="O26" s="248"/>
      <c r="P26" s="248"/>
      <c r="Q26" s="248"/>
      <c r="R26" s="248">
        <v>10</v>
      </c>
      <c r="S26" s="147"/>
      <c r="T26" s="133"/>
      <c r="U26" s="133"/>
      <c r="V26" s="133"/>
      <c r="W26" s="133"/>
      <c r="X26" s="133"/>
      <c r="Y26" s="133"/>
      <c r="Z26" s="133"/>
      <c r="AA26" s="133"/>
      <c r="AB26" s="133"/>
      <c r="AC26" s="133">
        <v>59.5</v>
      </c>
      <c r="AD26" s="133"/>
      <c r="AE26" s="133"/>
      <c r="AF26" s="133"/>
      <c r="AG26" s="133"/>
      <c r="AH26" s="133"/>
      <c r="AI26" s="133"/>
      <c r="AJ26" s="133"/>
      <c r="AK26" s="133"/>
      <c r="AL26" s="133"/>
      <c r="AM26" s="133"/>
      <c r="AN26" s="133"/>
      <c r="AO26" s="133"/>
      <c r="AP26" s="133"/>
      <c r="AQ26" s="133"/>
      <c r="AR26" s="133"/>
      <c r="AS26" s="133"/>
      <c r="AT26" s="133"/>
      <c r="AU26" s="133"/>
      <c r="AV26" s="133"/>
      <c r="AW26" s="133"/>
      <c r="AX26" s="133"/>
      <c r="AY26" s="133"/>
      <c r="AZ26" s="190"/>
      <c r="BA26" s="190"/>
      <c r="BB26" s="190"/>
      <c r="BC26" s="190"/>
      <c r="BD26" s="190"/>
      <c r="BE26" s="190"/>
      <c r="BF26" s="190"/>
      <c r="BG26" s="190"/>
      <c r="BH26" s="133"/>
      <c r="BI26" s="84">
        <f t="shared" si="1"/>
        <v>89.5</v>
      </c>
    </row>
    <row r="27" spans="1:72" ht="15" thickBot="1" x14ac:dyDescent="0.35">
      <c r="A27" s="116">
        <v>24</v>
      </c>
      <c r="B27" s="122" t="s">
        <v>116</v>
      </c>
      <c r="C27" s="100">
        <f t="shared" si="0"/>
        <v>81</v>
      </c>
      <c r="D27" s="247"/>
      <c r="E27" s="248"/>
      <c r="F27" s="248"/>
      <c r="G27" s="248">
        <v>27.5</v>
      </c>
      <c r="H27" s="248"/>
      <c r="I27" s="248">
        <v>8</v>
      </c>
      <c r="J27" s="248"/>
      <c r="K27" s="248"/>
      <c r="L27" s="248"/>
      <c r="M27" s="248"/>
      <c r="N27" s="248"/>
      <c r="O27" s="248"/>
      <c r="P27" s="248"/>
      <c r="Q27" s="248"/>
      <c r="R27" s="248"/>
      <c r="S27" s="147"/>
      <c r="T27" s="133"/>
      <c r="U27" s="133"/>
      <c r="V27" s="133"/>
      <c r="W27" s="133"/>
      <c r="X27" s="133"/>
      <c r="Y27" s="133"/>
      <c r="Z27" s="133"/>
      <c r="AA27" s="133"/>
      <c r="AB27" s="133"/>
      <c r="AC27" s="133"/>
      <c r="AD27" s="133"/>
      <c r="AE27" s="133"/>
      <c r="AF27" s="133"/>
      <c r="AG27" s="133"/>
      <c r="AH27" s="133"/>
      <c r="AI27" s="133"/>
      <c r="AJ27" s="133"/>
      <c r="AK27" s="133"/>
      <c r="AL27" s="133"/>
      <c r="AM27" s="133"/>
      <c r="AN27" s="133"/>
      <c r="AO27" s="133"/>
      <c r="AP27" s="133"/>
      <c r="AQ27" s="133"/>
      <c r="AR27" s="133"/>
      <c r="AS27" s="133"/>
      <c r="AT27" s="133"/>
      <c r="AU27" s="133"/>
      <c r="AV27" s="133">
        <v>45.5</v>
      </c>
      <c r="AW27" s="133"/>
      <c r="AX27" s="133"/>
      <c r="AY27" s="133"/>
      <c r="AZ27" s="190"/>
      <c r="BA27" s="190"/>
      <c r="BB27" s="190"/>
      <c r="BC27" s="190"/>
      <c r="BD27" s="190"/>
      <c r="BE27" s="190"/>
      <c r="BF27" s="190"/>
      <c r="BG27" s="190"/>
      <c r="BH27" s="133"/>
      <c r="BI27" s="84">
        <f t="shared" si="1"/>
        <v>81</v>
      </c>
    </row>
    <row r="28" spans="1:72" ht="15" thickBot="1" x14ac:dyDescent="0.35">
      <c r="A28" s="130">
        <v>25</v>
      </c>
      <c r="B28" s="122" t="s">
        <v>115</v>
      </c>
      <c r="C28" s="100">
        <f t="shared" si="0"/>
        <v>78</v>
      </c>
      <c r="D28" s="247">
        <v>17.5</v>
      </c>
      <c r="E28" s="248"/>
      <c r="F28" s="248"/>
      <c r="G28" s="248"/>
      <c r="H28" s="248"/>
      <c r="I28" s="248"/>
      <c r="J28" s="248"/>
      <c r="K28" s="248"/>
      <c r="L28" s="248"/>
      <c r="M28" s="248"/>
      <c r="N28" s="248">
        <v>32.5</v>
      </c>
      <c r="O28" s="248"/>
      <c r="P28" s="248"/>
      <c r="Q28" s="248"/>
      <c r="R28" s="248"/>
      <c r="S28" s="147"/>
      <c r="T28" s="133"/>
      <c r="U28" s="133"/>
      <c r="V28" s="133"/>
      <c r="W28" s="133"/>
      <c r="X28" s="133"/>
      <c r="Y28" s="133"/>
      <c r="Z28" s="133"/>
      <c r="AA28" s="133"/>
      <c r="AB28" s="133"/>
      <c r="AC28" s="133"/>
      <c r="AD28" s="133">
        <v>17.5</v>
      </c>
      <c r="AE28" s="133"/>
      <c r="AF28" s="133"/>
      <c r="AG28" s="133"/>
      <c r="AH28" s="133"/>
      <c r="AI28" s="133"/>
      <c r="AJ28" s="133"/>
      <c r="AK28" s="133"/>
      <c r="AL28" s="133"/>
      <c r="AM28" s="133"/>
      <c r="AN28" s="133"/>
      <c r="AO28" s="133"/>
      <c r="AP28" s="133"/>
      <c r="AQ28" s="133"/>
      <c r="AR28" s="133"/>
      <c r="AS28" s="133"/>
      <c r="AT28" s="133"/>
      <c r="AU28" s="133"/>
      <c r="AV28" s="133"/>
      <c r="AW28" s="133">
        <v>10.5</v>
      </c>
      <c r="AX28" s="133"/>
      <c r="AY28" s="133"/>
      <c r="AZ28" s="190"/>
      <c r="BA28" s="190"/>
      <c r="BB28" s="190"/>
      <c r="BC28" s="190"/>
      <c r="BD28" s="190"/>
      <c r="BE28" s="190"/>
      <c r="BF28" s="190"/>
      <c r="BG28" s="190"/>
      <c r="BH28" s="133"/>
      <c r="BI28" s="84">
        <f t="shared" si="1"/>
        <v>78</v>
      </c>
      <c r="BM28" s="56" t="s">
        <v>45</v>
      </c>
      <c r="BN28" s="297" t="s">
        <v>46</v>
      </c>
      <c r="BO28" s="297"/>
      <c r="BP28" s="297"/>
      <c r="BQ28" s="297"/>
      <c r="BR28" s="297"/>
      <c r="BS28" s="297" t="s">
        <v>47</v>
      </c>
      <c r="BT28" s="298"/>
    </row>
    <row r="29" spans="1:72" x14ac:dyDescent="0.3">
      <c r="A29" s="116">
        <v>26</v>
      </c>
      <c r="B29" s="122" t="s">
        <v>120</v>
      </c>
      <c r="C29" s="100">
        <f t="shared" si="0"/>
        <v>71.5</v>
      </c>
      <c r="D29" s="247"/>
      <c r="E29" s="248"/>
      <c r="F29" s="248"/>
      <c r="G29" s="248"/>
      <c r="H29" s="248"/>
      <c r="I29" s="248"/>
      <c r="J29" s="248"/>
      <c r="K29" s="248"/>
      <c r="L29" s="248"/>
      <c r="M29" s="248"/>
      <c r="N29" s="248"/>
      <c r="O29" s="248">
        <v>22.5</v>
      </c>
      <c r="P29" s="248">
        <v>49</v>
      </c>
      <c r="Q29" s="248"/>
      <c r="R29" s="248"/>
      <c r="S29" s="147"/>
      <c r="T29" s="133"/>
      <c r="U29" s="133"/>
      <c r="V29" s="133"/>
      <c r="W29" s="133"/>
      <c r="X29" s="133"/>
      <c r="Y29" s="133"/>
      <c r="Z29" s="133"/>
      <c r="AA29" s="133"/>
      <c r="AB29" s="133"/>
      <c r="AC29" s="133"/>
      <c r="AD29" s="133"/>
      <c r="AE29" s="133"/>
      <c r="AF29" s="133"/>
      <c r="AG29" s="133"/>
      <c r="AH29" s="133"/>
      <c r="AI29" s="133"/>
      <c r="AJ29" s="133"/>
      <c r="AK29" s="133"/>
      <c r="AL29" s="133"/>
      <c r="AM29" s="133"/>
      <c r="AN29" s="133"/>
      <c r="AO29" s="133"/>
      <c r="AP29" s="133"/>
      <c r="AQ29" s="133"/>
      <c r="AR29" s="133"/>
      <c r="AS29" s="133"/>
      <c r="AT29" s="133"/>
      <c r="AU29" s="133"/>
      <c r="AV29" s="133"/>
      <c r="AW29" s="133"/>
      <c r="AX29" s="133"/>
      <c r="AY29" s="133"/>
      <c r="AZ29" s="190"/>
      <c r="BA29" s="190"/>
      <c r="BB29" s="190"/>
      <c r="BC29" s="190"/>
      <c r="BD29" s="190"/>
      <c r="BE29" s="190"/>
      <c r="BF29" s="190"/>
      <c r="BG29" s="190"/>
      <c r="BH29" s="133"/>
      <c r="BI29" s="84">
        <f t="shared" si="1"/>
        <v>71.5</v>
      </c>
      <c r="BL29" s="80"/>
      <c r="BM29" s="68">
        <v>1</v>
      </c>
      <c r="BN29" s="281" t="s">
        <v>147</v>
      </c>
      <c r="BO29" s="282"/>
      <c r="BP29" s="282"/>
      <c r="BQ29" s="282"/>
      <c r="BR29" s="283"/>
      <c r="BS29" s="299" t="s">
        <v>148</v>
      </c>
      <c r="BT29" s="300"/>
    </row>
    <row r="30" spans="1:72" x14ac:dyDescent="0.3">
      <c r="A30" s="130">
        <v>27</v>
      </c>
      <c r="B30" s="122" t="s">
        <v>409</v>
      </c>
      <c r="C30" s="100">
        <f t="shared" si="0"/>
        <v>65</v>
      </c>
      <c r="D30" s="200"/>
      <c r="E30" s="196"/>
      <c r="F30" s="196"/>
      <c r="G30" s="196"/>
      <c r="H30" s="196"/>
      <c r="I30" s="196"/>
      <c r="J30" s="196"/>
      <c r="K30" s="196"/>
      <c r="L30" s="196"/>
      <c r="M30" s="196"/>
      <c r="N30" s="196"/>
      <c r="O30" s="196"/>
      <c r="P30" s="196"/>
      <c r="Q30" s="196">
        <v>37.5</v>
      </c>
      <c r="R30" s="196">
        <v>27.5</v>
      </c>
      <c r="S30" s="147"/>
      <c r="T30" s="133"/>
      <c r="U30" s="133"/>
      <c r="V30" s="133"/>
      <c r="W30" s="133"/>
      <c r="X30" s="133"/>
      <c r="Y30" s="133"/>
      <c r="Z30" s="133"/>
      <c r="AA30" s="133"/>
      <c r="AB30" s="133"/>
      <c r="AC30" s="133"/>
      <c r="AD30" s="133"/>
      <c r="AE30" s="133"/>
      <c r="AF30" s="133"/>
      <c r="AG30" s="133"/>
      <c r="AH30" s="133"/>
      <c r="AI30" s="133"/>
      <c r="AJ30" s="133"/>
      <c r="AK30" s="133"/>
      <c r="AL30" s="133"/>
      <c r="AM30" s="133"/>
      <c r="AN30" s="133"/>
      <c r="AO30" s="133"/>
      <c r="AP30" s="133"/>
      <c r="AQ30" s="133"/>
      <c r="AR30" s="133"/>
      <c r="AS30" s="133"/>
      <c r="AT30" s="133"/>
      <c r="AU30" s="133"/>
      <c r="AV30" s="133"/>
      <c r="AW30" s="133"/>
      <c r="AX30" s="133"/>
      <c r="AY30" s="133"/>
      <c r="AZ30" s="190"/>
      <c r="BA30" s="190"/>
      <c r="BB30" s="190"/>
      <c r="BC30" s="190"/>
      <c r="BD30" s="190"/>
      <c r="BE30" s="190"/>
      <c r="BF30" s="190"/>
      <c r="BG30" s="190"/>
      <c r="BH30" s="133"/>
      <c r="BI30" s="84">
        <f t="shared" si="1"/>
        <v>65</v>
      </c>
      <c r="BL30" s="80"/>
      <c r="BM30" s="70">
        <v>2</v>
      </c>
      <c r="BN30" s="284" t="s">
        <v>150</v>
      </c>
      <c r="BO30" s="285"/>
      <c r="BP30" s="285"/>
      <c r="BQ30" s="285"/>
      <c r="BR30" s="286"/>
      <c r="BS30" s="272" t="s">
        <v>151</v>
      </c>
      <c r="BT30" s="273"/>
    </row>
    <row r="31" spans="1:72" x14ac:dyDescent="0.3">
      <c r="A31" s="116">
        <v>28</v>
      </c>
      <c r="B31" s="122" t="s">
        <v>96</v>
      </c>
      <c r="C31" s="100">
        <f t="shared" si="0"/>
        <v>62</v>
      </c>
      <c r="D31" s="247"/>
      <c r="E31" s="248"/>
      <c r="F31" s="248"/>
      <c r="G31" s="248"/>
      <c r="H31" s="248"/>
      <c r="I31" s="248"/>
      <c r="J31" s="248"/>
      <c r="K31" s="248"/>
      <c r="L31" s="248">
        <v>17.5</v>
      </c>
      <c r="M31" s="248"/>
      <c r="N31" s="248"/>
      <c r="O31" s="248"/>
      <c r="P31" s="248"/>
      <c r="Q31" s="248">
        <v>2.5</v>
      </c>
      <c r="R31" s="248"/>
      <c r="S31" s="147"/>
      <c r="T31" s="133"/>
      <c r="U31" s="133"/>
      <c r="V31" s="133"/>
      <c r="W31" s="133"/>
      <c r="X31" s="133"/>
      <c r="Y31" s="133"/>
      <c r="Z31" s="133"/>
      <c r="AA31" s="133"/>
      <c r="AB31" s="133"/>
      <c r="AC31" s="133">
        <v>42</v>
      </c>
      <c r="AD31" s="133"/>
      <c r="AE31" s="133"/>
      <c r="AF31" s="133"/>
      <c r="AG31" s="133"/>
      <c r="AH31" s="133"/>
      <c r="AI31" s="133"/>
      <c r="AJ31" s="133"/>
      <c r="AK31" s="133"/>
      <c r="AL31" s="133"/>
      <c r="AM31" s="133"/>
      <c r="AN31" s="133"/>
      <c r="AO31" s="133"/>
      <c r="AP31" s="133"/>
      <c r="AQ31" s="133"/>
      <c r="AR31" s="133"/>
      <c r="AS31" s="133"/>
      <c r="AT31" s="133"/>
      <c r="AU31" s="133"/>
      <c r="AV31" s="133"/>
      <c r="AW31" s="133"/>
      <c r="AX31" s="133"/>
      <c r="AY31" s="133"/>
      <c r="AZ31" s="190"/>
      <c r="BA31" s="190"/>
      <c r="BB31" s="190"/>
      <c r="BC31" s="190"/>
      <c r="BD31" s="190"/>
      <c r="BE31" s="190"/>
      <c r="BF31" s="190"/>
      <c r="BG31" s="190"/>
      <c r="BH31" s="133"/>
      <c r="BI31" s="84">
        <f t="shared" si="1"/>
        <v>62</v>
      </c>
      <c r="BL31" s="80"/>
      <c r="BM31" s="68">
        <v>3</v>
      </c>
      <c r="BN31" s="287" t="s">
        <v>175</v>
      </c>
      <c r="BO31" s="288"/>
      <c r="BP31" s="288"/>
      <c r="BQ31" s="288"/>
      <c r="BR31" s="289"/>
      <c r="BS31" s="287" t="s">
        <v>173</v>
      </c>
      <c r="BT31" s="301"/>
    </row>
    <row r="32" spans="1:72" x14ac:dyDescent="0.3">
      <c r="A32" s="130">
        <v>29</v>
      </c>
      <c r="B32" s="122" t="s">
        <v>118</v>
      </c>
      <c r="C32" s="100">
        <f t="shared" si="0"/>
        <v>41</v>
      </c>
      <c r="D32" s="247"/>
      <c r="E32" s="248"/>
      <c r="F32" s="248"/>
      <c r="G32" s="248"/>
      <c r="H32" s="248"/>
      <c r="I32" s="248"/>
      <c r="J32" s="248"/>
      <c r="K32" s="248"/>
      <c r="L32" s="248">
        <v>20</v>
      </c>
      <c r="M32" s="248"/>
      <c r="N32" s="248"/>
      <c r="O32" s="248"/>
      <c r="P32" s="248">
        <v>21</v>
      </c>
      <c r="Q32" s="248"/>
      <c r="R32" s="248"/>
      <c r="S32" s="147"/>
      <c r="T32" s="133"/>
      <c r="U32" s="133"/>
      <c r="V32" s="133"/>
      <c r="W32" s="133"/>
      <c r="X32" s="133"/>
      <c r="Y32" s="133"/>
      <c r="Z32" s="133"/>
      <c r="AA32" s="133"/>
      <c r="AB32" s="133"/>
      <c r="AC32" s="133"/>
      <c r="AD32" s="133"/>
      <c r="AE32" s="133"/>
      <c r="AF32" s="133"/>
      <c r="AG32" s="133"/>
      <c r="AH32" s="133"/>
      <c r="AI32" s="133"/>
      <c r="AJ32" s="133"/>
      <c r="AK32" s="133"/>
      <c r="AL32" s="133"/>
      <c r="AM32" s="133"/>
      <c r="AN32" s="133"/>
      <c r="AO32" s="133"/>
      <c r="AP32" s="133"/>
      <c r="AQ32" s="133"/>
      <c r="AR32" s="133"/>
      <c r="AS32" s="133"/>
      <c r="AT32" s="133"/>
      <c r="AU32" s="133"/>
      <c r="AV32" s="133"/>
      <c r="AW32" s="133"/>
      <c r="AX32" s="133"/>
      <c r="AY32" s="133"/>
      <c r="AZ32" s="190"/>
      <c r="BA32" s="190"/>
      <c r="BB32" s="190"/>
      <c r="BC32" s="190"/>
      <c r="BD32" s="190"/>
      <c r="BE32" s="190"/>
      <c r="BF32" s="190"/>
      <c r="BG32" s="190"/>
      <c r="BH32" s="133"/>
      <c r="BI32" s="84">
        <f t="shared" si="1"/>
        <v>41</v>
      </c>
      <c r="BL32" s="80"/>
      <c r="BM32" s="70">
        <v>4</v>
      </c>
      <c r="BN32" s="287" t="s">
        <v>176</v>
      </c>
      <c r="BO32" s="288"/>
      <c r="BP32" s="288"/>
      <c r="BQ32" s="288"/>
      <c r="BR32" s="289"/>
      <c r="BS32" s="268" t="s">
        <v>177</v>
      </c>
      <c r="BT32" s="271"/>
    </row>
    <row r="33" spans="1:72" x14ac:dyDescent="0.3">
      <c r="A33" s="116">
        <v>30</v>
      </c>
      <c r="B33" s="122" t="s">
        <v>119</v>
      </c>
      <c r="C33" s="100">
        <f t="shared" si="0"/>
        <v>31</v>
      </c>
      <c r="D33" s="247"/>
      <c r="E33" s="248"/>
      <c r="F33" s="248"/>
      <c r="G33" s="248"/>
      <c r="H33" s="248"/>
      <c r="I33" s="248"/>
      <c r="J33" s="248"/>
      <c r="K33" s="248"/>
      <c r="L33" s="248">
        <v>15</v>
      </c>
      <c r="M33" s="248"/>
      <c r="N33" s="248"/>
      <c r="O33" s="248"/>
      <c r="P33" s="248">
        <v>16</v>
      </c>
      <c r="Q33" s="248"/>
      <c r="R33" s="248"/>
      <c r="S33" s="147"/>
      <c r="T33" s="133"/>
      <c r="U33" s="133"/>
      <c r="V33" s="133"/>
      <c r="W33" s="133"/>
      <c r="X33" s="133"/>
      <c r="Y33" s="133"/>
      <c r="Z33" s="133"/>
      <c r="AA33" s="133"/>
      <c r="AB33" s="133"/>
      <c r="AC33" s="133"/>
      <c r="AD33" s="133"/>
      <c r="AE33" s="133"/>
      <c r="AF33" s="133"/>
      <c r="AG33" s="133"/>
      <c r="AH33" s="133"/>
      <c r="AI33" s="133"/>
      <c r="AJ33" s="133"/>
      <c r="AK33" s="133"/>
      <c r="AL33" s="133"/>
      <c r="AM33" s="133"/>
      <c r="AN33" s="133"/>
      <c r="AO33" s="133"/>
      <c r="AP33" s="133"/>
      <c r="AQ33" s="133"/>
      <c r="AR33" s="133"/>
      <c r="AS33" s="133"/>
      <c r="AT33" s="133"/>
      <c r="AU33" s="133"/>
      <c r="AV33" s="133"/>
      <c r="AW33" s="133"/>
      <c r="AX33" s="133"/>
      <c r="AY33" s="133"/>
      <c r="AZ33" s="190"/>
      <c r="BA33" s="190"/>
      <c r="BB33" s="190"/>
      <c r="BC33" s="190"/>
      <c r="BD33" s="190"/>
      <c r="BE33" s="190"/>
      <c r="BF33" s="190"/>
      <c r="BG33" s="190"/>
      <c r="BH33" s="133"/>
      <c r="BI33" s="84">
        <f t="shared" si="1"/>
        <v>31</v>
      </c>
      <c r="BL33" s="80"/>
      <c r="BM33" s="68">
        <v>5</v>
      </c>
      <c r="BN33" s="287" t="s">
        <v>178</v>
      </c>
      <c r="BO33" s="288"/>
      <c r="BP33" s="288"/>
      <c r="BQ33" s="288"/>
      <c r="BR33" s="289"/>
      <c r="BS33" s="268" t="s">
        <v>179</v>
      </c>
      <c r="BT33" s="271"/>
    </row>
    <row r="34" spans="1:72" x14ac:dyDescent="0.3">
      <c r="A34" s="130">
        <v>31</v>
      </c>
      <c r="B34" s="186" t="s">
        <v>58</v>
      </c>
      <c r="C34" s="100">
        <f t="shared" si="0"/>
        <v>28</v>
      </c>
      <c r="D34" s="247"/>
      <c r="E34" s="248"/>
      <c r="F34" s="248"/>
      <c r="G34" s="248"/>
      <c r="H34" s="248"/>
      <c r="I34" s="248"/>
      <c r="J34" s="248"/>
      <c r="K34" s="248"/>
      <c r="L34" s="248"/>
      <c r="M34" s="248"/>
      <c r="N34" s="248"/>
      <c r="O34" s="248"/>
      <c r="P34" s="248"/>
      <c r="Q34" s="248"/>
      <c r="R34" s="248"/>
      <c r="S34" s="147"/>
      <c r="T34" s="133"/>
      <c r="U34" s="133"/>
      <c r="V34" s="133"/>
      <c r="W34" s="133"/>
      <c r="X34" s="133"/>
      <c r="Y34" s="133"/>
      <c r="Z34" s="133"/>
      <c r="AA34" s="133"/>
      <c r="AB34" s="133"/>
      <c r="AC34" s="133">
        <v>28</v>
      </c>
      <c r="AD34" s="133"/>
      <c r="AE34" s="133"/>
      <c r="AF34" s="133"/>
      <c r="AG34" s="133"/>
      <c r="AH34" s="133"/>
      <c r="AI34" s="133"/>
      <c r="AJ34" s="133"/>
      <c r="AK34" s="133"/>
      <c r="AL34" s="133"/>
      <c r="AM34" s="133"/>
      <c r="AN34" s="133"/>
      <c r="AO34" s="133"/>
      <c r="AP34" s="133"/>
      <c r="AQ34" s="133"/>
      <c r="AR34" s="133"/>
      <c r="AS34" s="133"/>
      <c r="AT34" s="133"/>
      <c r="AU34" s="133"/>
      <c r="AV34" s="133"/>
      <c r="AW34" s="133"/>
      <c r="AX34" s="133"/>
      <c r="AY34" s="133"/>
      <c r="AZ34" s="190"/>
      <c r="BA34" s="190"/>
      <c r="BB34" s="190"/>
      <c r="BC34" s="190"/>
      <c r="BD34" s="190"/>
      <c r="BE34" s="190"/>
      <c r="BF34" s="190"/>
      <c r="BG34" s="190"/>
      <c r="BH34" s="133"/>
      <c r="BI34" s="84">
        <f t="shared" si="1"/>
        <v>28</v>
      </c>
      <c r="BL34" s="80"/>
      <c r="BM34" s="70">
        <v>6</v>
      </c>
      <c r="BN34" s="287" t="s">
        <v>180</v>
      </c>
      <c r="BO34" s="288"/>
      <c r="BP34" s="288"/>
      <c r="BQ34" s="288"/>
      <c r="BR34" s="289"/>
      <c r="BS34" s="268" t="s">
        <v>182</v>
      </c>
      <c r="BT34" s="271"/>
    </row>
    <row r="35" spans="1:72" x14ac:dyDescent="0.3">
      <c r="A35" s="116">
        <v>32</v>
      </c>
      <c r="B35" s="122" t="s">
        <v>88</v>
      </c>
      <c r="C35" s="100">
        <f t="shared" si="0"/>
        <v>27.5</v>
      </c>
      <c r="D35" s="247"/>
      <c r="E35" s="248"/>
      <c r="F35" s="248"/>
      <c r="G35" s="248"/>
      <c r="H35" s="248"/>
      <c r="I35" s="248"/>
      <c r="J35" s="248"/>
      <c r="K35" s="248"/>
      <c r="L35" s="248"/>
      <c r="M35" s="248"/>
      <c r="N35" s="248">
        <v>27.5</v>
      </c>
      <c r="O35" s="248"/>
      <c r="P35" s="248"/>
      <c r="Q35" s="248"/>
      <c r="R35" s="248"/>
      <c r="S35" s="147"/>
      <c r="T35" s="133"/>
      <c r="U35" s="133"/>
      <c r="V35" s="133"/>
      <c r="W35" s="133"/>
      <c r="X35" s="133"/>
      <c r="Y35" s="133"/>
      <c r="Z35" s="133"/>
      <c r="AA35" s="133"/>
      <c r="AB35" s="133"/>
      <c r="AC35" s="133"/>
      <c r="AD35" s="133"/>
      <c r="AE35" s="133"/>
      <c r="AF35" s="133"/>
      <c r="AG35" s="133"/>
      <c r="AH35" s="133"/>
      <c r="AI35" s="133"/>
      <c r="AJ35" s="133"/>
      <c r="AK35" s="133"/>
      <c r="AL35" s="133"/>
      <c r="AM35" s="133"/>
      <c r="AN35" s="133"/>
      <c r="AO35" s="133"/>
      <c r="AP35" s="133"/>
      <c r="AQ35" s="133"/>
      <c r="AR35" s="133"/>
      <c r="AS35" s="133"/>
      <c r="AT35" s="133"/>
      <c r="AU35" s="133"/>
      <c r="AV35" s="133"/>
      <c r="AW35" s="133"/>
      <c r="AX35" s="133"/>
      <c r="AY35" s="133"/>
      <c r="AZ35" s="190"/>
      <c r="BA35" s="190"/>
      <c r="BB35" s="190"/>
      <c r="BC35" s="190"/>
      <c r="BD35" s="190"/>
      <c r="BE35" s="190"/>
      <c r="BF35" s="190"/>
      <c r="BG35" s="190"/>
      <c r="BH35" s="133"/>
      <c r="BI35" s="84">
        <f t="shared" si="1"/>
        <v>27.5</v>
      </c>
      <c r="BL35" s="80"/>
      <c r="BM35" s="68">
        <v>7</v>
      </c>
      <c r="BN35" s="287" t="s">
        <v>183</v>
      </c>
      <c r="BO35" s="288"/>
      <c r="BP35" s="288"/>
      <c r="BQ35" s="288"/>
      <c r="BR35" s="289"/>
      <c r="BS35" s="268" t="s">
        <v>184</v>
      </c>
      <c r="BT35" s="271"/>
    </row>
    <row r="36" spans="1:72" x14ac:dyDescent="0.3">
      <c r="A36" s="130">
        <v>33</v>
      </c>
      <c r="B36" s="122" t="s">
        <v>146</v>
      </c>
      <c r="C36" s="100">
        <f t="shared" si="0"/>
        <v>20</v>
      </c>
      <c r="D36" s="247">
        <v>7.5</v>
      </c>
      <c r="E36" s="248">
        <v>12.5</v>
      </c>
      <c r="F36" s="248"/>
      <c r="G36" s="248"/>
      <c r="H36" s="248"/>
      <c r="I36" s="248"/>
      <c r="J36" s="248"/>
      <c r="K36" s="248"/>
      <c r="L36" s="248"/>
      <c r="M36" s="248"/>
      <c r="N36" s="248"/>
      <c r="O36" s="248"/>
      <c r="P36" s="248"/>
      <c r="Q36" s="248"/>
      <c r="R36" s="248"/>
      <c r="S36" s="147"/>
      <c r="T36" s="133"/>
      <c r="U36" s="133"/>
      <c r="V36" s="133"/>
      <c r="W36" s="133"/>
      <c r="X36" s="133"/>
      <c r="Y36" s="133"/>
      <c r="Z36" s="133"/>
      <c r="AA36" s="133"/>
      <c r="AB36" s="133"/>
      <c r="AC36" s="133"/>
      <c r="AD36" s="133"/>
      <c r="AE36" s="133"/>
      <c r="AF36" s="133"/>
      <c r="AG36" s="133"/>
      <c r="AH36" s="133"/>
      <c r="AI36" s="133"/>
      <c r="AJ36" s="133"/>
      <c r="AK36" s="133"/>
      <c r="AL36" s="133"/>
      <c r="AM36" s="133"/>
      <c r="AN36" s="133"/>
      <c r="AO36" s="133"/>
      <c r="AP36" s="133"/>
      <c r="AQ36" s="133"/>
      <c r="AR36" s="133"/>
      <c r="AS36" s="133"/>
      <c r="AT36" s="133"/>
      <c r="AU36" s="133"/>
      <c r="AV36" s="133"/>
      <c r="AW36" s="133"/>
      <c r="AX36" s="133"/>
      <c r="AY36" s="133"/>
      <c r="AZ36" s="190"/>
      <c r="BA36" s="190"/>
      <c r="BB36" s="190"/>
      <c r="BC36" s="190"/>
      <c r="BD36" s="190"/>
      <c r="BE36" s="190"/>
      <c r="BF36" s="190"/>
      <c r="BG36" s="190"/>
      <c r="BH36" s="133"/>
      <c r="BI36" s="84">
        <f t="shared" si="1"/>
        <v>20</v>
      </c>
      <c r="BL36" s="80"/>
      <c r="BM36" s="70">
        <v>8</v>
      </c>
      <c r="BN36" s="287" t="s">
        <v>185</v>
      </c>
      <c r="BO36" s="288"/>
      <c r="BP36" s="288"/>
      <c r="BQ36" s="288"/>
      <c r="BR36" s="289"/>
      <c r="BS36" s="268" t="s">
        <v>186</v>
      </c>
      <c r="BT36" s="271"/>
    </row>
    <row r="37" spans="1:72" x14ac:dyDescent="0.3">
      <c r="A37" s="116">
        <v>34</v>
      </c>
      <c r="B37" s="186" t="s">
        <v>199</v>
      </c>
      <c r="C37" s="100">
        <f t="shared" si="0"/>
        <v>15</v>
      </c>
      <c r="D37" s="247"/>
      <c r="E37" s="248"/>
      <c r="F37" s="248"/>
      <c r="G37" s="248"/>
      <c r="H37" s="248"/>
      <c r="I37" s="248"/>
      <c r="J37" s="248"/>
      <c r="K37" s="248"/>
      <c r="L37" s="248"/>
      <c r="M37" s="248"/>
      <c r="N37" s="248"/>
      <c r="O37" s="248">
        <v>15</v>
      </c>
      <c r="P37" s="248"/>
      <c r="Q37" s="248"/>
      <c r="R37" s="248"/>
      <c r="S37" s="147"/>
      <c r="T37" s="133"/>
      <c r="U37" s="133"/>
      <c r="V37" s="133"/>
      <c r="W37" s="133"/>
      <c r="X37" s="133"/>
      <c r="Y37" s="133"/>
      <c r="Z37" s="133"/>
      <c r="AA37" s="133"/>
      <c r="AB37" s="133"/>
      <c r="AC37" s="133"/>
      <c r="AD37" s="133"/>
      <c r="AE37" s="133"/>
      <c r="AF37" s="133"/>
      <c r="AG37" s="133"/>
      <c r="AH37" s="133"/>
      <c r="AI37" s="133"/>
      <c r="AJ37" s="133"/>
      <c r="AK37" s="133"/>
      <c r="AL37" s="133"/>
      <c r="AM37" s="133"/>
      <c r="AN37" s="133"/>
      <c r="AO37" s="133"/>
      <c r="AP37" s="133"/>
      <c r="AQ37" s="133"/>
      <c r="AR37" s="133"/>
      <c r="AS37" s="133"/>
      <c r="AT37" s="133"/>
      <c r="AU37" s="133"/>
      <c r="AV37" s="133"/>
      <c r="AW37" s="133"/>
      <c r="AX37" s="133"/>
      <c r="AY37" s="133"/>
      <c r="AZ37" s="190"/>
      <c r="BA37" s="190"/>
      <c r="BB37" s="190"/>
      <c r="BC37" s="190"/>
      <c r="BD37" s="190"/>
      <c r="BE37" s="190"/>
      <c r="BF37" s="190"/>
      <c r="BG37" s="190"/>
      <c r="BH37" s="133"/>
      <c r="BI37" s="84">
        <f t="shared" si="1"/>
        <v>15</v>
      </c>
      <c r="BL37" s="80"/>
      <c r="BM37" s="68">
        <v>9</v>
      </c>
      <c r="BN37" s="287" t="s">
        <v>188</v>
      </c>
      <c r="BO37" s="288"/>
      <c r="BP37" s="288"/>
      <c r="BQ37" s="288"/>
      <c r="BR37" s="289"/>
      <c r="BS37" s="268" t="s">
        <v>189</v>
      </c>
      <c r="BT37" s="271"/>
    </row>
    <row r="38" spans="1:72" x14ac:dyDescent="0.3">
      <c r="A38" s="130">
        <v>35</v>
      </c>
      <c r="B38" s="186" t="s">
        <v>82</v>
      </c>
      <c r="C38" s="100">
        <f t="shared" si="0"/>
        <v>10</v>
      </c>
      <c r="D38" s="247"/>
      <c r="E38" s="248"/>
      <c r="F38" s="248"/>
      <c r="G38" s="248"/>
      <c r="H38" s="248"/>
      <c r="I38" s="248"/>
      <c r="J38" s="248"/>
      <c r="K38" s="248"/>
      <c r="L38" s="248"/>
      <c r="M38" s="248"/>
      <c r="N38" s="248"/>
      <c r="O38" s="248">
        <v>10</v>
      </c>
      <c r="P38" s="248"/>
      <c r="Q38" s="248"/>
      <c r="R38" s="248"/>
      <c r="S38" s="147"/>
      <c r="T38" s="133"/>
      <c r="U38" s="133"/>
      <c r="V38" s="133"/>
      <c r="W38" s="133"/>
      <c r="X38" s="133"/>
      <c r="Y38" s="133"/>
      <c r="Z38" s="133"/>
      <c r="AA38" s="133"/>
      <c r="AB38" s="133"/>
      <c r="AC38" s="133"/>
      <c r="AD38" s="133"/>
      <c r="AE38" s="133"/>
      <c r="AF38" s="133"/>
      <c r="AG38" s="133"/>
      <c r="AH38" s="133"/>
      <c r="AI38" s="133"/>
      <c r="AJ38" s="133"/>
      <c r="AK38" s="133"/>
      <c r="AL38" s="133"/>
      <c r="AM38" s="133"/>
      <c r="AN38" s="133"/>
      <c r="AO38" s="133"/>
      <c r="AP38" s="133"/>
      <c r="AQ38" s="133"/>
      <c r="AR38" s="133"/>
      <c r="AS38" s="133"/>
      <c r="AT38" s="133"/>
      <c r="AU38" s="133"/>
      <c r="AV38" s="133"/>
      <c r="AW38" s="133"/>
      <c r="AX38" s="133"/>
      <c r="AY38" s="133"/>
      <c r="AZ38" s="190"/>
      <c r="BA38" s="190"/>
      <c r="BB38" s="190"/>
      <c r="BC38" s="190"/>
      <c r="BD38" s="190"/>
      <c r="BE38" s="190"/>
      <c r="BF38" s="190"/>
      <c r="BG38" s="190"/>
      <c r="BH38" s="133"/>
      <c r="BI38" s="84">
        <f t="shared" si="1"/>
        <v>10</v>
      </c>
      <c r="BL38" s="80"/>
      <c r="BM38" s="70">
        <v>10</v>
      </c>
      <c r="BN38" s="287" t="s">
        <v>192</v>
      </c>
      <c r="BO38" s="288"/>
      <c r="BP38" s="288"/>
      <c r="BQ38" s="288"/>
      <c r="BR38" s="289"/>
      <c r="BS38" s="268" t="s">
        <v>193</v>
      </c>
      <c r="BT38" s="271"/>
    </row>
    <row r="39" spans="1:72" x14ac:dyDescent="0.3">
      <c r="A39" s="116">
        <v>36</v>
      </c>
      <c r="B39" s="186" t="s">
        <v>191</v>
      </c>
      <c r="C39" s="100">
        <f t="shared" si="0"/>
        <v>7.5</v>
      </c>
      <c r="D39" s="247"/>
      <c r="E39" s="248"/>
      <c r="F39" s="248"/>
      <c r="G39" s="248"/>
      <c r="H39" s="248"/>
      <c r="I39" s="248"/>
      <c r="J39" s="248"/>
      <c r="K39" s="248"/>
      <c r="L39" s="248">
        <v>7.5</v>
      </c>
      <c r="M39" s="248"/>
      <c r="N39" s="248"/>
      <c r="O39" s="248"/>
      <c r="P39" s="248"/>
      <c r="Q39" s="248"/>
      <c r="R39" s="248"/>
      <c r="S39" s="147"/>
      <c r="T39" s="133"/>
      <c r="U39" s="133"/>
      <c r="V39" s="133"/>
      <c r="W39" s="133"/>
      <c r="X39" s="133"/>
      <c r="Y39" s="133"/>
      <c r="Z39" s="133"/>
      <c r="AA39" s="133"/>
      <c r="AB39" s="133"/>
      <c r="AC39" s="133"/>
      <c r="AD39" s="133"/>
      <c r="AE39" s="133"/>
      <c r="AF39" s="133"/>
      <c r="AG39" s="133"/>
      <c r="AH39" s="133"/>
      <c r="AI39" s="133"/>
      <c r="AJ39" s="133"/>
      <c r="AK39" s="133"/>
      <c r="AL39" s="133"/>
      <c r="AM39" s="133"/>
      <c r="AN39" s="133"/>
      <c r="AO39" s="133"/>
      <c r="AP39" s="133"/>
      <c r="AQ39" s="133"/>
      <c r="AR39" s="133"/>
      <c r="AS39" s="133"/>
      <c r="AT39" s="133"/>
      <c r="AU39" s="133"/>
      <c r="AV39" s="133"/>
      <c r="AW39" s="133"/>
      <c r="AX39" s="133"/>
      <c r="AY39" s="133"/>
      <c r="AZ39" s="190"/>
      <c r="BA39" s="190"/>
      <c r="BB39" s="190"/>
      <c r="BC39" s="190"/>
      <c r="BD39" s="190"/>
      <c r="BE39" s="190"/>
      <c r="BF39" s="190"/>
      <c r="BG39" s="190"/>
      <c r="BH39" s="133"/>
      <c r="BI39" s="84">
        <f t="shared" si="1"/>
        <v>7.5</v>
      </c>
      <c r="BL39" s="80"/>
      <c r="BM39" s="68">
        <v>11</v>
      </c>
      <c r="BN39" s="287" t="s">
        <v>194</v>
      </c>
      <c r="BO39" s="288"/>
      <c r="BP39" s="288"/>
      <c r="BQ39" s="288"/>
      <c r="BR39" s="289"/>
      <c r="BS39" s="268" t="s">
        <v>195</v>
      </c>
      <c r="BT39" s="271"/>
    </row>
    <row r="40" spans="1:72" x14ac:dyDescent="0.3">
      <c r="A40" s="116">
        <v>37</v>
      </c>
      <c r="B40" s="122" t="s">
        <v>79</v>
      </c>
      <c r="C40" s="221">
        <f t="shared" si="0"/>
        <v>7</v>
      </c>
      <c r="D40" s="200"/>
      <c r="E40" s="196"/>
      <c r="F40" s="196"/>
      <c r="G40" s="196"/>
      <c r="H40" s="196"/>
      <c r="I40" s="196"/>
      <c r="J40" s="196"/>
      <c r="K40" s="196"/>
      <c r="L40" s="196"/>
      <c r="M40" s="196"/>
      <c r="N40" s="196"/>
      <c r="O40" s="196"/>
      <c r="P40" s="196"/>
      <c r="Q40" s="196"/>
      <c r="R40" s="196"/>
      <c r="S40" s="147"/>
      <c r="T40" s="133"/>
      <c r="U40" s="133"/>
      <c r="V40" s="133"/>
      <c r="W40" s="133"/>
      <c r="X40" s="133"/>
      <c r="Y40" s="133"/>
      <c r="Z40" s="133"/>
      <c r="AA40" s="133"/>
      <c r="AB40" s="133"/>
      <c r="AC40" s="133"/>
      <c r="AD40" s="133"/>
      <c r="AE40" s="133"/>
      <c r="AF40" s="133"/>
      <c r="AG40" s="133"/>
      <c r="AH40" s="133"/>
      <c r="AI40" s="133"/>
      <c r="AJ40" s="133"/>
      <c r="AK40" s="133"/>
      <c r="AL40" s="133"/>
      <c r="AM40" s="133"/>
      <c r="AN40" s="133"/>
      <c r="AO40" s="133"/>
      <c r="AP40" s="133"/>
      <c r="AQ40" s="133"/>
      <c r="AR40" s="133"/>
      <c r="AS40" s="133"/>
      <c r="AT40" s="133"/>
      <c r="AU40" s="133"/>
      <c r="AV40" s="133"/>
      <c r="AW40" s="133"/>
      <c r="AX40" s="133"/>
      <c r="AY40" s="133"/>
      <c r="AZ40" s="133"/>
      <c r="BA40" s="133"/>
      <c r="BB40" s="133"/>
      <c r="BC40" s="133"/>
      <c r="BD40" s="133"/>
      <c r="BE40" s="133"/>
      <c r="BF40" s="133">
        <v>7</v>
      </c>
      <c r="BG40" s="133"/>
      <c r="BH40" s="133"/>
      <c r="BI40" s="223">
        <f t="shared" si="1"/>
        <v>7</v>
      </c>
      <c r="BL40" s="80"/>
      <c r="BM40" s="70">
        <v>12</v>
      </c>
      <c r="BN40" s="287" t="s">
        <v>196</v>
      </c>
      <c r="BO40" s="288"/>
      <c r="BP40" s="288"/>
      <c r="BQ40" s="288"/>
      <c r="BR40" s="289"/>
      <c r="BS40" s="268" t="s">
        <v>197</v>
      </c>
      <c r="BT40" s="271"/>
    </row>
    <row r="41" spans="1:72" x14ac:dyDescent="0.3">
      <c r="A41" s="116">
        <v>38</v>
      </c>
      <c r="B41" s="122" t="s">
        <v>121</v>
      </c>
      <c r="C41" s="221">
        <f t="shared" si="0"/>
        <v>5</v>
      </c>
      <c r="D41" s="247"/>
      <c r="E41" s="248"/>
      <c r="F41" s="248"/>
      <c r="G41" s="248"/>
      <c r="H41" s="248"/>
      <c r="I41" s="248"/>
      <c r="J41" s="248"/>
      <c r="K41" s="248"/>
      <c r="L41" s="248">
        <v>5</v>
      </c>
      <c r="M41" s="248"/>
      <c r="N41" s="248"/>
      <c r="O41" s="248"/>
      <c r="P41" s="248"/>
      <c r="Q41" s="248"/>
      <c r="R41" s="248"/>
      <c r="S41" s="147"/>
      <c r="T41" s="133"/>
      <c r="U41" s="133"/>
      <c r="V41" s="133"/>
      <c r="W41" s="133"/>
      <c r="X41" s="133"/>
      <c r="Y41" s="133"/>
      <c r="Z41" s="133"/>
      <c r="AA41" s="133"/>
      <c r="AB41" s="133"/>
      <c r="AC41" s="133"/>
      <c r="AD41" s="133"/>
      <c r="AE41" s="133"/>
      <c r="AF41" s="133"/>
      <c r="AG41" s="133"/>
      <c r="AH41" s="133"/>
      <c r="AI41" s="133"/>
      <c r="AJ41" s="133"/>
      <c r="AK41" s="133"/>
      <c r="AL41" s="133"/>
      <c r="AM41" s="133"/>
      <c r="AN41" s="133"/>
      <c r="AO41" s="133"/>
      <c r="AP41" s="133"/>
      <c r="AQ41" s="133"/>
      <c r="AR41" s="133"/>
      <c r="AS41" s="133"/>
      <c r="AT41" s="133"/>
      <c r="AU41" s="133"/>
      <c r="AV41" s="133"/>
      <c r="AW41" s="133"/>
      <c r="AX41" s="133"/>
      <c r="AY41" s="133"/>
      <c r="AZ41" s="133"/>
      <c r="BA41" s="133"/>
      <c r="BB41" s="133"/>
      <c r="BC41" s="133"/>
      <c r="BD41" s="133"/>
      <c r="BE41" s="133"/>
      <c r="BF41" s="133"/>
      <c r="BG41" s="133"/>
      <c r="BH41" s="133"/>
      <c r="BI41" s="223">
        <f t="shared" si="1"/>
        <v>5</v>
      </c>
      <c r="BL41" s="80"/>
      <c r="BM41" s="68">
        <v>13</v>
      </c>
      <c r="BN41" s="287" t="s">
        <v>201</v>
      </c>
      <c r="BO41" s="288"/>
      <c r="BP41" s="288"/>
      <c r="BQ41" s="288"/>
      <c r="BR41" s="289"/>
      <c r="BS41" s="268" t="s">
        <v>202</v>
      </c>
      <c r="BT41" s="271"/>
    </row>
    <row r="42" spans="1:72" ht="15" thickBot="1" x14ac:dyDescent="0.35">
      <c r="A42" s="117">
        <v>39</v>
      </c>
      <c r="B42" s="123" t="s">
        <v>117</v>
      </c>
      <c r="C42" s="222">
        <f t="shared" si="0"/>
        <v>2.5</v>
      </c>
      <c r="D42" s="250"/>
      <c r="E42" s="251"/>
      <c r="F42" s="251"/>
      <c r="G42" s="251"/>
      <c r="H42" s="251"/>
      <c r="I42" s="251"/>
      <c r="J42" s="251"/>
      <c r="K42" s="251"/>
      <c r="L42" s="251"/>
      <c r="M42" s="251"/>
      <c r="N42" s="251"/>
      <c r="O42" s="251">
        <v>2.5</v>
      </c>
      <c r="P42" s="251"/>
      <c r="Q42" s="251"/>
      <c r="R42" s="251"/>
      <c r="S42" s="243"/>
      <c r="T42" s="244"/>
      <c r="U42" s="244"/>
      <c r="V42" s="244"/>
      <c r="W42" s="244"/>
      <c r="X42" s="244"/>
      <c r="Y42" s="244"/>
      <c r="Z42" s="244"/>
      <c r="AA42" s="244"/>
      <c r="AB42" s="244"/>
      <c r="AC42" s="244"/>
      <c r="AD42" s="244"/>
      <c r="AE42" s="244"/>
      <c r="AF42" s="244"/>
      <c r="AG42" s="244"/>
      <c r="AH42" s="244"/>
      <c r="AI42" s="244"/>
      <c r="AJ42" s="244"/>
      <c r="AK42" s="244"/>
      <c r="AL42" s="244"/>
      <c r="AM42" s="244"/>
      <c r="AN42" s="244"/>
      <c r="AO42" s="244"/>
      <c r="AP42" s="244"/>
      <c r="AQ42" s="244"/>
      <c r="AR42" s="244"/>
      <c r="AS42" s="244"/>
      <c r="AT42" s="244"/>
      <c r="AU42" s="244"/>
      <c r="AV42" s="244"/>
      <c r="AW42" s="244"/>
      <c r="AX42" s="244"/>
      <c r="AY42" s="244"/>
      <c r="AZ42" s="244"/>
      <c r="BA42" s="244"/>
      <c r="BB42" s="244"/>
      <c r="BC42" s="244"/>
      <c r="BD42" s="244"/>
      <c r="BE42" s="244"/>
      <c r="BF42" s="244"/>
      <c r="BG42" s="244"/>
      <c r="BH42" s="244"/>
      <c r="BI42" s="90">
        <f t="shared" si="1"/>
        <v>2.5</v>
      </c>
      <c r="BL42" s="80"/>
      <c r="BM42" s="70">
        <v>14</v>
      </c>
      <c r="BN42" s="287" t="s">
        <v>408</v>
      </c>
      <c r="BO42" s="288"/>
      <c r="BP42" s="288"/>
      <c r="BQ42" s="288"/>
      <c r="BR42" s="289"/>
      <c r="BS42" s="268" t="s">
        <v>407</v>
      </c>
      <c r="BT42" s="271"/>
    </row>
    <row r="43" spans="1:72" ht="15" thickBot="1" x14ac:dyDescent="0.35">
      <c r="BL43" s="80"/>
      <c r="BM43" s="68">
        <v>15</v>
      </c>
      <c r="BN43" s="287" t="s">
        <v>411</v>
      </c>
      <c r="BO43" s="288"/>
      <c r="BP43" s="288"/>
      <c r="BQ43" s="288"/>
      <c r="BR43" s="289"/>
      <c r="BS43" s="268" t="s">
        <v>415</v>
      </c>
      <c r="BT43" s="271"/>
    </row>
    <row r="44" spans="1:72" ht="15" thickBot="1" x14ac:dyDescent="0.35">
      <c r="BL44" s="80"/>
      <c r="BM44" s="82" t="s">
        <v>45</v>
      </c>
      <c r="BN44" s="278" t="s">
        <v>99</v>
      </c>
      <c r="BO44" s="279"/>
      <c r="BP44" s="279"/>
      <c r="BQ44" s="279"/>
      <c r="BR44" s="280"/>
      <c r="BS44" s="276" t="s">
        <v>47</v>
      </c>
      <c r="BT44" s="277"/>
    </row>
    <row r="45" spans="1:72" x14ac:dyDescent="0.3">
      <c r="BL45" s="80"/>
      <c r="BM45" s="101">
        <v>1</v>
      </c>
      <c r="BN45" s="274" t="s">
        <v>153</v>
      </c>
      <c r="BO45" s="274"/>
      <c r="BP45" s="274"/>
      <c r="BQ45" s="274"/>
      <c r="BR45" s="274"/>
      <c r="BS45" s="274" t="s">
        <v>154</v>
      </c>
      <c r="BT45" s="275"/>
    </row>
    <row r="46" spans="1:72" x14ac:dyDescent="0.3">
      <c r="BL46" s="80"/>
      <c r="BM46" s="102">
        <v>2</v>
      </c>
      <c r="BN46" s="272" t="s">
        <v>156</v>
      </c>
      <c r="BO46" s="272"/>
      <c r="BP46" s="272"/>
      <c r="BQ46" s="272"/>
      <c r="BR46" s="272"/>
      <c r="BS46" s="272" t="s">
        <v>157</v>
      </c>
      <c r="BT46" s="273"/>
    </row>
    <row r="47" spans="1:72" x14ac:dyDescent="0.3">
      <c r="BL47" s="80"/>
      <c r="BM47" s="102">
        <v>3</v>
      </c>
      <c r="BN47" s="272" t="s">
        <v>158</v>
      </c>
      <c r="BO47" s="272"/>
      <c r="BP47" s="272"/>
      <c r="BQ47" s="272"/>
      <c r="BR47" s="272"/>
      <c r="BS47" s="272" t="s">
        <v>159</v>
      </c>
      <c r="BT47" s="273"/>
    </row>
    <row r="48" spans="1:72" x14ac:dyDescent="0.3">
      <c r="BL48" s="80"/>
      <c r="BM48" s="102">
        <v>4</v>
      </c>
      <c r="BN48" s="272" t="s">
        <v>156</v>
      </c>
      <c r="BO48" s="272"/>
      <c r="BP48" s="272"/>
      <c r="BQ48" s="272"/>
      <c r="BR48" s="272"/>
      <c r="BS48" s="272" t="s">
        <v>159</v>
      </c>
      <c r="BT48" s="273"/>
    </row>
    <row r="49" spans="64:72" x14ac:dyDescent="0.3">
      <c r="BL49" s="80"/>
      <c r="BM49" s="102">
        <v>5</v>
      </c>
      <c r="BN49" s="272" t="s">
        <v>165</v>
      </c>
      <c r="BO49" s="272"/>
      <c r="BP49" s="272"/>
      <c r="BQ49" s="272"/>
      <c r="BR49" s="272"/>
      <c r="BS49" s="272" t="s">
        <v>163</v>
      </c>
      <c r="BT49" s="273"/>
    </row>
    <row r="50" spans="64:72" x14ac:dyDescent="0.3">
      <c r="BL50" s="80"/>
      <c r="BM50" s="102">
        <v>6</v>
      </c>
      <c r="BN50" s="272" t="s">
        <v>156</v>
      </c>
      <c r="BO50" s="272"/>
      <c r="BP50" s="272"/>
      <c r="BQ50" s="272"/>
      <c r="BR50" s="272"/>
      <c r="BS50" s="272" t="s">
        <v>166</v>
      </c>
      <c r="BT50" s="273"/>
    </row>
    <row r="51" spans="64:72" x14ac:dyDescent="0.3">
      <c r="BL51" s="80"/>
      <c r="BM51" s="102">
        <v>7</v>
      </c>
      <c r="BN51" s="272" t="s">
        <v>167</v>
      </c>
      <c r="BO51" s="272"/>
      <c r="BP51" s="272"/>
      <c r="BQ51" s="272"/>
      <c r="BR51" s="272"/>
      <c r="BS51" s="272" t="s">
        <v>166</v>
      </c>
      <c r="BT51" s="273"/>
    </row>
    <row r="52" spans="64:72" x14ac:dyDescent="0.3">
      <c r="BL52" s="80"/>
      <c r="BM52" s="102">
        <v>8</v>
      </c>
      <c r="BN52" s="272" t="s">
        <v>156</v>
      </c>
      <c r="BO52" s="272"/>
      <c r="BP52" s="272"/>
      <c r="BQ52" s="272"/>
      <c r="BR52" s="272"/>
      <c r="BS52" s="268" t="s">
        <v>168</v>
      </c>
      <c r="BT52" s="271"/>
    </row>
    <row r="53" spans="64:72" x14ac:dyDescent="0.3">
      <c r="BL53" s="80"/>
      <c r="BM53" s="102">
        <v>9</v>
      </c>
      <c r="BN53" s="268" t="s">
        <v>169</v>
      </c>
      <c r="BO53" s="268"/>
      <c r="BP53" s="268"/>
      <c r="BQ53" s="268"/>
      <c r="BR53" s="268"/>
      <c r="BS53" s="268" t="s">
        <v>170</v>
      </c>
      <c r="BT53" s="271"/>
    </row>
    <row r="54" spans="64:72" x14ac:dyDescent="0.3">
      <c r="BL54" s="80"/>
      <c r="BM54" s="102">
        <v>10</v>
      </c>
      <c r="BN54" s="272" t="s">
        <v>156</v>
      </c>
      <c r="BO54" s="272"/>
      <c r="BP54" s="272"/>
      <c r="BQ54" s="272"/>
      <c r="BR54" s="272"/>
      <c r="BS54" s="268" t="s">
        <v>174</v>
      </c>
      <c r="BT54" s="271"/>
    </row>
    <row r="55" spans="64:72" x14ac:dyDescent="0.3">
      <c r="BL55" s="80"/>
      <c r="BM55" s="102">
        <v>11</v>
      </c>
      <c r="BN55" s="268" t="s">
        <v>229</v>
      </c>
      <c r="BO55" s="268"/>
      <c r="BP55" s="268"/>
      <c r="BQ55" s="268"/>
      <c r="BR55" s="268"/>
      <c r="BS55" s="268" t="s">
        <v>223</v>
      </c>
      <c r="BT55" s="271"/>
    </row>
    <row r="56" spans="64:72" x14ac:dyDescent="0.3">
      <c r="BL56" s="80"/>
      <c r="BM56" s="102">
        <v>12</v>
      </c>
      <c r="BN56" s="268" t="s">
        <v>230</v>
      </c>
      <c r="BO56" s="268"/>
      <c r="BP56" s="268"/>
      <c r="BQ56" s="268"/>
      <c r="BR56" s="268"/>
      <c r="BS56" s="268" t="s">
        <v>228</v>
      </c>
      <c r="BT56" s="271"/>
    </row>
    <row r="57" spans="64:72" x14ac:dyDescent="0.3">
      <c r="BL57" s="80"/>
      <c r="BM57" s="102">
        <v>13</v>
      </c>
      <c r="BN57" s="268" t="s">
        <v>167</v>
      </c>
      <c r="BO57" s="268"/>
      <c r="BP57" s="268"/>
      <c r="BQ57" s="268"/>
      <c r="BR57" s="268"/>
      <c r="BS57" s="268" t="s">
        <v>233</v>
      </c>
      <c r="BT57" s="271"/>
    </row>
    <row r="58" spans="64:72" x14ac:dyDescent="0.3">
      <c r="BL58" s="80"/>
      <c r="BM58" s="102">
        <v>14</v>
      </c>
      <c r="BN58" s="268" t="s">
        <v>234</v>
      </c>
      <c r="BO58" s="268"/>
      <c r="BP58" s="268"/>
      <c r="BQ58" s="268"/>
      <c r="BR58" s="268"/>
      <c r="BS58" s="268" t="s">
        <v>235</v>
      </c>
      <c r="BT58" s="271"/>
    </row>
    <row r="59" spans="64:72" x14ac:dyDescent="0.3">
      <c r="BL59" s="80"/>
      <c r="BM59" s="102">
        <v>15</v>
      </c>
      <c r="BN59" s="268" t="s">
        <v>236</v>
      </c>
      <c r="BO59" s="268"/>
      <c r="BP59" s="268"/>
      <c r="BQ59" s="268"/>
      <c r="BR59" s="268"/>
      <c r="BS59" s="268" t="s">
        <v>237</v>
      </c>
      <c r="BT59" s="271"/>
    </row>
    <row r="60" spans="64:72" x14ac:dyDescent="0.3">
      <c r="BL60" s="80"/>
      <c r="BM60" s="102">
        <v>16</v>
      </c>
      <c r="BN60" s="268" t="s">
        <v>240</v>
      </c>
      <c r="BO60" s="268"/>
      <c r="BP60" s="268"/>
      <c r="BQ60" s="268"/>
      <c r="BR60" s="268"/>
      <c r="BS60" s="268" t="s">
        <v>241</v>
      </c>
      <c r="BT60" s="271"/>
    </row>
    <row r="61" spans="64:72" x14ac:dyDescent="0.3">
      <c r="BL61" s="80"/>
      <c r="BM61" s="102">
        <v>17</v>
      </c>
      <c r="BN61" s="268" t="s">
        <v>242</v>
      </c>
      <c r="BO61" s="268"/>
      <c r="BP61" s="268"/>
      <c r="BQ61" s="268"/>
      <c r="BR61" s="268"/>
      <c r="BS61" s="268" t="s">
        <v>243</v>
      </c>
      <c r="BT61" s="271"/>
    </row>
    <row r="62" spans="64:72" x14ac:dyDescent="0.3">
      <c r="BL62" s="80"/>
      <c r="BM62" s="102">
        <v>18</v>
      </c>
      <c r="BN62" s="268" t="s">
        <v>244</v>
      </c>
      <c r="BO62" s="268"/>
      <c r="BP62" s="268"/>
      <c r="BQ62" s="268"/>
      <c r="BR62" s="268"/>
      <c r="BS62" s="268" t="s">
        <v>245</v>
      </c>
      <c r="BT62" s="271"/>
    </row>
    <row r="63" spans="64:72" x14ac:dyDescent="0.3">
      <c r="BL63" s="80"/>
      <c r="BM63" s="102">
        <v>19</v>
      </c>
      <c r="BN63" s="268" t="s">
        <v>246</v>
      </c>
      <c r="BO63" s="268"/>
      <c r="BP63" s="268"/>
      <c r="BQ63" s="268"/>
      <c r="BR63" s="268"/>
      <c r="BS63" s="268" t="s">
        <v>247</v>
      </c>
      <c r="BT63" s="271"/>
    </row>
    <row r="64" spans="64:72" x14ac:dyDescent="0.3">
      <c r="BL64" s="80"/>
      <c r="BM64" s="102">
        <v>20</v>
      </c>
      <c r="BN64" s="268" t="s">
        <v>248</v>
      </c>
      <c r="BO64" s="268"/>
      <c r="BP64" s="268"/>
      <c r="BQ64" s="268"/>
      <c r="BR64" s="268"/>
      <c r="BS64" s="268" t="s">
        <v>249</v>
      </c>
      <c r="BT64" s="271"/>
    </row>
    <row r="65" spans="64:73" x14ac:dyDescent="0.3">
      <c r="BL65" s="80"/>
      <c r="BM65" s="102">
        <v>21</v>
      </c>
      <c r="BN65" s="268" t="s">
        <v>251</v>
      </c>
      <c r="BO65" s="268"/>
      <c r="BP65" s="268"/>
      <c r="BQ65" s="268"/>
      <c r="BR65" s="268"/>
      <c r="BS65" s="268" t="s">
        <v>252</v>
      </c>
      <c r="BT65" s="271"/>
    </row>
    <row r="66" spans="64:73" x14ac:dyDescent="0.3">
      <c r="BL66" s="87"/>
      <c r="BM66" s="102">
        <v>22</v>
      </c>
      <c r="BN66" s="272" t="s">
        <v>253</v>
      </c>
      <c r="BO66" s="272"/>
      <c r="BP66" s="272"/>
      <c r="BQ66" s="272"/>
      <c r="BR66" s="272"/>
      <c r="BS66" s="268" t="s">
        <v>254</v>
      </c>
      <c r="BT66" s="271"/>
      <c r="BU66" s="74"/>
    </row>
    <row r="67" spans="64:73" x14ac:dyDescent="0.3">
      <c r="BL67" s="87"/>
      <c r="BM67" s="102">
        <v>23</v>
      </c>
      <c r="BN67" s="272" t="s">
        <v>255</v>
      </c>
      <c r="BO67" s="272"/>
      <c r="BP67" s="272"/>
      <c r="BQ67" s="272"/>
      <c r="BR67" s="272"/>
      <c r="BS67" s="268" t="s">
        <v>256</v>
      </c>
      <c r="BT67" s="271"/>
      <c r="BU67" s="76"/>
    </row>
    <row r="68" spans="64:73" x14ac:dyDescent="0.3">
      <c r="BL68" s="87"/>
      <c r="BM68" s="102">
        <v>24</v>
      </c>
      <c r="BN68" s="268" t="s">
        <v>257</v>
      </c>
      <c r="BO68" s="268"/>
      <c r="BP68" s="268"/>
      <c r="BQ68" s="268"/>
      <c r="BR68" s="268"/>
      <c r="BS68" s="268" t="s">
        <v>258</v>
      </c>
      <c r="BT68" s="271"/>
      <c r="BU68" s="76"/>
    </row>
    <row r="69" spans="64:73" x14ac:dyDescent="0.3">
      <c r="BL69" s="87"/>
      <c r="BM69" s="102">
        <v>25</v>
      </c>
      <c r="BN69" s="268" t="s">
        <v>259</v>
      </c>
      <c r="BO69" s="268"/>
      <c r="BP69" s="268"/>
      <c r="BQ69" s="268"/>
      <c r="BR69" s="268"/>
      <c r="BS69" s="268" t="s">
        <v>260</v>
      </c>
      <c r="BT69" s="271"/>
      <c r="BU69" s="76"/>
    </row>
    <row r="70" spans="64:73" x14ac:dyDescent="0.3">
      <c r="BL70" s="87"/>
      <c r="BM70" s="102">
        <v>26</v>
      </c>
      <c r="BN70" s="268" t="s">
        <v>263</v>
      </c>
      <c r="BO70" s="268"/>
      <c r="BP70" s="268"/>
      <c r="BQ70" s="268"/>
      <c r="BR70" s="268"/>
      <c r="BS70" s="268" t="s">
        <v>261</v>
      </c>
      <c r="BT70" s="271"/>
      <c r="BU70" s="76"/>
    </row>
    <row r="71" spans="64:73" x14ac:dyDescent="0.3">
      <c r="BL71" s="87"/>
      <c r="BM71" s="102">
        <v>27</v>
      </c>
      <c r="BN71" s="272" t="s">
        <v>264</v>
      </c>
      <c r="BO71" s="272"/>
      <c r="BP71" s="272"/>
      <c r="BQ71" s="272"/>
      <c r="BR71" s="272"/>
      <c r="BS71" s="268" t="s">
        <v>265</v>
      </c>
      <c r="BT71" s="271"/>
      <c r="BU71" s="76"/>
    </row>
    <row r="72" spans="64:73" x14ac:dyDescent="0.3">
      <c r="BL72" s="87"/>
      <c r="BM72" s="102">
        <v>28</v>
      </c>
      <c r="BN72" s="268" t="s">
        <v>266</v>
      </c>
      <c r="BO72" s="268"/>
      <c r="BP72" s="268"/>
      <c r="BQ72" s="268"/>
      <c r="BR72" s="268"/>
      <c r="BS72" s="268" t="s">
        <v>267</v>
      </c>
      <c r="BT72" s="271"/>
    </row>
    <row r="73" spans="64:73" x14ac:dyDescent="0.3">
      <c r="BL73" s="87"/>
      <c r="BM73" s="102">
        <v>29</v>
      </c>
      <c r="BN73" s="268" t="s">
        <v>268</v>
      </c>
      <c r="BO73" s="268"/>
      <c r="BP73" s="268"/>
      <c r="BQ73" s="268"/>
      <c r="BR73" s="268"/>
      <c r="BS73" s="268" t="s">
        <v>269</v>
      </c>
      <c r="BT73" s="271"/>
    </row>
    <row r="74" spans="64:73" x14ac:dyDescent="0.3">
      <c r="BL74" s="87"/>
      <c r="BM74" s="102">
        <v>30</v>
      </c>
      <c r="BN74" s="268" t="s">
        <v>270</v>
      </c>
      <c r="BO74" s="268"/>
      <c r="BP74" s="268"/>
      <c r="BQ74" s="268"/>
      <c r="BR74" s="268"/>
      <c r="BS74" s="268" t="s">
        <v>269</v>
      </c>
      <c r="BT74" s="271"/>
    </row>
    <row r="75" spans="64:73" x14ac:dyDescent="0.3">
      <c r="BL75" s="87"/>
      <c r="BM75" s="102">
        <v>31</v>
      </c>
      <c r="BN75" s="268" t="s">
        <v>273</v>
      </c>
      <c r="BO75" s="268"/>
      <c r="BP75" s="268"/>
      <c r="BQ75" s="268"/>
      <c r="BR75" s="268"/>
      <c r="BS75" s="268" t="s">
        <v>272</v>
      </c>
      <c r="BT75" s="271"/>
    </row>
    <row r="76" spans="64:73" x14ac:dyDescent="0.3">
      <c r="BL76" s="87"/>
      <c r="BM76" s="102">
        <v>32</v>
      </c>
      <c r="BN76" s="268" t="s">
        <v>274</v>
      </c>
      <c r="BO76" s="268"/>
      <c r="BP76" s="268"/>
      <c r="BQ76" s="268"/>
      <c r="BR76" s="268"/>
      <c r="BS76" s="269" t="s">
        <v>275</v>
      </c>
      <c r="BT76" s="270"/>
    </row>
    <row r="77" spans="64:73" x14ac:dyDescent="0.3">
      <c r="BL77" s="80"/>
      <c r="BM77" s="102">
        <v>33</v>
      </c>
      <c r="BN77" s="268" t="s">
        <v>276</v>
      </c>
      <c r="BO77" s="268"/>
      <c r="BP77" s="268"/>
      <c r="BQ77" s="268"/>
      <c r="BR77" s="268"/>
      <c r="BS77" s="268" t="s">
        <v>228</v>
      </c>
      <c r="BT77" s="271"/>
    </row>
    <row r="78" spans="64:73" x14ac:dyDescent="0.3">
      <c r="BL78" s="80"/>
      <c r="BM78" s="102">
        <v>34</v>
      </c>
      <c r="BN78" s="268" t="s">
        <v>277</v>
      </c>
      <c r="BO78" s="268"/>
      <c r="BP78" s="268"/>
      <c r="BQ78" s="268"/>
      <c r="BR78" s="268"/>
      <c r="BS78" s="268" t="s">
        <v>278</v>
      </c>
      <c r="BT78" s="271"/>
    </row>
    <row r="79" spans="64:73" x14ac:dyDescent="0.3">
      <c r="BL79" s="80"/>
      <c r="BM79" s="102">
        <v>35</v>
      </c>
      <c r="BN79" s="268" t="s">
        <v>280</v>
      </c>
      <c r="BO79" s="268"/>
      <c r="BP79" s="268"/>
      <c r="BQ79" s="268"/>
      <c r="BR79" s="268"/>
      <c r="BS79" s="268" t="s">
        <v>281</v>
      </c>
      <c r="BT79" s="271"/>
    </row>
    <row r="80" spans="64:73" x14ac:dyDescent="0.3">
      <c r="BL80" s="80"/>
      <c r="BM80" s="102">
        <v>36</v>
      </c>
      <c r="BN80" s="268" t="s">
        <v>282</v>
      </c>
      <c r="BO80" s="268"/>
      <c r="BP80" s="268"/>
      <c r="BQ80" s="268"/>
      <c r="BR80" s="268"/>
      <c r="BS80" s="268" t="s">
        <v>283</v>
      </c>
      <c r="BT80" s="271"/>
    </row>
    <row r="81" spans="64:72" x14ac:dyDescent="0.3">
      <c r="BL81" s="80"/>
      <c r="BM81" s="102">
        <v>37</v>
      </c>
      <c r="BN81" s="268" t="s">
        <v>284</v>
      </c>
      <c r="BO81" s="268"/>
      <c r="BP81" s="268"/>
      <c r="BQ81" s="268"/>
      <c r="BR81" s="268"/>
      <c r="BS81" s="268" t="s">
        <v>285</v>
      </c>
      <c r="BT81" s="271"/>
    </row>
    <row r="82" spans="64:72" x14ac:dyDescent="0.3">
      <c r="BL82" s="80"/>
      <c r="BM82" s="102">
        <v>38</v>
      </c>
      <c r="BN82" s="268" t="s">
        <v>403</v>
      </c>
      <c r="BO82" s="268"/>
      <c r="BP82" s="268"/>
      <c r="BQ82" s="268"/>
      <c r="BR82" s="268"/>
      <c r="BS82" s="268" t="s">
        <v>404</v>
      </c>
      <c r="BT82" s="271"/>
    </row>
    <row r="83" spans="64:72" x14ac:dyDescent="0.3">
      <c r="BL83" s="80"/>
      <c r="BM83" s="102">
        <v>39</v>
      </c>
      <c r="BN83" s="269" t="s">
        <v>405</v>
      </c>
      <c r="BO83" s="269"/>
      <c r="BP83" s="269"/>
      <c r="BQ83" s="269"/>
      <c r="BR83" s="269"/>
      <c r="BS83" s="269" t="s">
        <v>406</v>
      </c>
      <c r="BT83" s="270"/>
    </row>
    <row r="84" spans="64:72" x14ac:dyDescent="0.3">
      <c r="BL84" s="80"/>
      <c r="BM84" s="102">
        <v>40</v>
      </c>
      <c r="BN84" s="269" t="s">
        <v>405</v>
      </c>
      <c r="BO84" s="269"/>
      <c r="BP84" s="269"/>
      <c r="BQ84" s="269"/>
      <c r="BR84" s="269"/>
      <c r="BS84" s="269" t="s">
        <v>407</v>
      </c>
      <c r="BT84" s="270"/>
    </row>
    <row r="85" spans="64:72" x14ac:dyDescent="0.3">
      <c r="BL85" s="80"/>
      <c r="BM85" s="102">
        <v>41</v>
      </c>
      <c r="BN85" s="269" t="s">
        <v>416</v>
      </c>
      <c r="BO85" s="269"/>
      <c r="BP85" s="269"/>
      <c r="BQ85" s="269"/>
      <c r="BR85" s="269"/>
      <c r="BS85" s="269" t="s">
        <v>414</v>
      </c>
      <c r="BT85" s="270"/>
    </row>
    <row r="86" spans="64:72" ht="15" thickBot="1" x14ac:dyDescent="0.35">
      <c r="BL86" s="80"/>
      <c r="BM86" s="241">
        <v>42</v>
      </c>
      <c r="BN86" s="265" t="s">
        <v>418</v>
      </c>
      <c r="BO86" s="265"/>
      <c r="BP86" s="265"/>
      <c r="BQ86" s="265"/>
      <c r="BR86" s="265"/>
      <c r="BS86" s="266" t="s">
        <v>417</v>
      </c>
      <c r="BT86" s="267"/>
    </row>
    <row r="87" spans="64:72" x14ac:dyDescent="0.3">
      <c r="BL87" s="80"/>
    </row>
    <row r="88" spans="64:72" x14ac:dyDescent="0.3">
      <c r="BL88" s="80"/>
    </row>
    <row r="89" spans="64:72" x14ac:dyDescent="0.3">
      <c r="BL89" s="80"/>
    </row>
    <row r="90" spans="64:72" x14ac:dyDescent="0.3">
      <c r="BL90" s="80"/>
    </row>
    <row r="91" spans="64:72" x14ac:dyDescent="0.3">
      <c r="BL91" s="80"/>
    </row>
  </sheetData>
  <sortState ref="B4:BI42">
    <sortCondition descending="1" ref="BI4:BI42"/>
  </sortState>
  <mergeCells count="119">
    <mergeCell ref="BS39:BT39"/>
    <mergeCell ref="BS38:BT38"/>
    <mergeCell ref="BN28:BR28"/>
    <mergeCell ref="BS28:BT28"/>
    <mergeCell ref="BS29:BT29"/>
    <mergeCell ref="BS30:BT30"/>
    <mergeCell ref="BS31:BT31"/>
    <mergeCell ref="BS32:BT32"/>
    <mergeCell ref="A1:BI2"/>
    <mergeCell ref="BN42:BR42"/>
    <mergeCell ref="BN43:BR43"/>
    <mergeCell ref="BN36:BR36"/>
    <mergeCell ref="BN37:BR37"/>
    <mergeCell ref="BN38:BR38"/>
    <mergeCell ref="BN39:BR39"/>
    <mergeCell ref="BN40:BR40"/>
    <mergeCell ref="BN41:BR41"/>
    <mergeCell ref="BS35:BT35"/>
    <mergeCell ref="BS36:BT36"/>
    <mergeCell ref="BS37:BT37"/>
    <mergeCell ref="BS33:BT33"/>
    <mergeCell ref="BS34:BT34"/>
    <mergeCell ref="BN29:BR29"/>
    <mergeCell ref="BN30:BR30"/>
    <mergeCell ref="BN31:BR31"/>
    <mergeCell ref="BN32:BR32"/>
    <mergeCell ref="BN33:BR33"/>
    <mergeCell ref="BN34:BR34"/>
    <mergeCell ref="BN35:BR35"/>
    <mergeCell ref="BN45:BR45"/>
    <mergeCell ref="BN46:BR46"/>
    <mergeCell ref="BN47:BR47"/>
    <mergeCell ref="BS45:BT45"/>
    <mergeCell ref="BS46:BT46"/>
    <mergeCell ref="BS47:BT47"/>
    <mergeCell ref="BS44:BT44"/>
    <mergeCell ref="BN44:BR44"/>
    <mergeCell ref="BS40:BT40"/>
    <mergeCell ref="BS42:BT42"/>
    <mergeCell ref="BS43:BT43"/>
    <mergeCell ref="BS41:BT41"/>
    <mergeCell ref="BN52:BR52"/>
    <mergeCell ref="BS52:BT52"/>
    <mergeCell ref="BN53:BR53"/>
    <mergeCell ref="BS53:BT53"/>
    <mergeCell ref="BS48:BT48"/>
    <mergeCell ref="BS49:BT49"/>
    <mergeCell ref="BS50:BT50"/>
    <mergeCell ref="BS51:BT51"/>
    <mergeCell ref="BN48:BR48"/>
    <mergeCell ref="BN49:BR49"/>
    <mergeCell ref="BN50:BR50"/>
    <mergeCell ref="BN51:BR51"/>
    <mergeCell ref="BN57:BR57"/>
    <mergeCell ref="BS57:BT57"/>
    <mergeCell ref="BN58:BR58"/>
    <mergeCell ref="BS58:BT58"/>
    <mergeCell ref="BN59:BR59"/>
    <mergeCell ref="BS59:BT59"/>
    <mergeCell ref="BN54:BR54"/>
    <mergeCell ref="BS54:BT54"/>
    <mergeCell ref="BN55:BR55"/>
    <mergeCell ref="BS55:BT55"/>
    <mergeCell ref="BN56:BR56"/>
    <mergeCell ref="BS56:BT56"/>
    <mergeCell ref="BN63:BR63"/>
    <mergeCell ref="BS63:BT63"/>
    <mergeCell ref="BN64:BR64"/>
    <mergeCell ref="BS64:BT64"/>
    <mergeCell ref="BN65:BR65"/>
    <mergeCell ref="BS65:BT65"/>
    <mergeCell ref="BN60:BR60"/>
    <mergeCell ref="BS60:BT60"/>
    <mergeCell ref="BN61:BR61"/>
    <mergeCell ref="BS61:BT61"/>
    <mergeCell ref="BN62:BR62"/>
    <mergeCell ref="BS62:BT62"/>
    <mergeCell ref="BN69:BR69"/>
    <mergeCell ref="BN70:BR70"/>
    <mergeCell ref="BS69:BT69"/>
    <mergeCell ref="BS70:BT70"/>
    <mergeCell ref="BN71:BR71"/>
    <mergeCell ref="BS71:BT71"/>
    <mergeCell ref="BN66:BR66"/>
    <mergeCell ref="BS66:BT66"/>
    <mergeCell ref="BN67:BR67"/>
    <mergeCell ref="BS67:BT67"/>
    <mergeCell ref="BN68:BR68"/>
    <mergeCell ref="BS68:BT68"/>
    <mergeCell ref="BS73:BT73"/>
    <mergeCell ref="BS74:BT74"/>
    <mergeCell ref="BS75:BT75"/>
    <mergeCell ref="BS76:BT76"/>
    <mergeCell ref="BN72:BR72"/>
    <mergeCell ref="BS72:BT72"/>
    <mergeCell ref="BN73:BR73"/>
    <mergeCell ref="BN74:BR74"/>
    <mergeCell ref="BN75:BR75"/>
    <mergeCell ref="BN86:BR86"/>
    <mergeCell ref="BS86:BT86"/>
    <mergeCell ref="BN76:BR76"/>
    <mergeCell ref="BN84:BR84"/>
    <mergeCell ref="BN85:BR85"/>
    <mergeCell ref="BS84:BT84"/>
    <mergeCell ref="BS85:BT85"/>
    <mergeCell ref="BN77:BR77"/>
    <mergeCell ref="BN78:BR78"/>
    <mergeCell ref="BN79:BR79"/>
    <mergeCell ref="BN80:BR80"/>
    <mergeCell ref="BN81:BR81"/>
    <mergeCell ref="BN82:BR82"/>
    <mergeCell ref="BN83:BR83"/>
    <mergeCell ref="BS77:BT77"/>
    <mergeCell ref="BS78:BT78"/>
    <mergeCell ref="BS79:BT79"/>
    <mergeCell ref="BS80:BT80"/>
    <mergeCell ref="BS81:BT81"/>
    <mergeCell ref="BS82:BT82"/>
    <mergeCell ref="BS83:BT8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zoomScaleNormal="100" zoomScaleSheetLayoutView="85" workbookViewId="0">
      <selection activeCell="K22" sqref="K22"/>
    </sheetView>
  </sheetViews>
  <sheetFormatPr defaultRowHeight="14.4" x14ac:dyDescent="0.3"/>
  <cols>
    <col min="1" max="1" width="8.88671875" customWidth="1"/>
    <col min="2" max="2" width="22" customWidth="1"/>
    <col min="3" max="7" width="9.109375" customWidth="1"/>
    <col min="8" max="8" width="12.88671875" customWidth="1"/>
  </cols>
  <sheetData>
    <row r="1" spans="1:18" ht="14.4" customHeight="1" x14ac:dyDescent="0.3">
      <c r="A1" s="313" t="s">
        <v>336</v>
      </c>
      <c r="B1" s="314"/>
      <c r="C1" s="314"/>
      <c r="D1" s="314"/>
      <c r="E1" s="314"/>
      <c r="F1" s="314"/>
      <c r="G1" s="314"/>
      <c r="H1" s="315"/>
    </row>
    <row r="2" spans="1:18" x14ac:dyDescent="0.3">
      <c r="A2" s="316"/>
      <c r="B2" s="317"/>
      <c r="C2" s="317"/>
      <c r="D2" s="317"/>
      <c r="E2" s="317"/>
      <c r="F2" s="317"/>
      <c r="G2" s="317"/>
      <c r="H2" s="318"/>
    </row>
    <row r="3" spans="1:18" x14ac:dyDescent="0.3">
      <c r="A3" s="316"/>
      <c r="B3" s="317"/>
      <c r="C3" s="317"/>
      <c r="D3" s="317"/>
      <c r="E3" s="317"/>
      <c r="F3" s="317"/>
      <c r="G3" s="317"/>
      <c r="H3" s="318"/>
    </row>
    <row r="4" spans="1:18" ht="15" thickBot="1" x14ac:dyDescent="0.35">
      <c r="A4" s="319"/>
      <c r="B4" s="320"/>
      <c r="C4" s="317"/>
      <c r="D4" s="317"/>
      <c r="E4" s="317"/>
      <c r="F4" s="317"/>
      <c r="G4" s="317"/>
      <c r="H4" s="321"/>
    </row>
    <row r="5" spans="1:18" ht="15" thickBot="1" x14ac:dyDescent="0.35">
      <c r="A5" s="61" t="s">
        <v>48</v>
      </c>
      <c r="B5" s="140" t="s">
        <v>49</v>
      </c>
      <c r="C5" s="139">
        <v>1</v>
      </c>
      <c r="D5" s="66">
        <v>2</v>
      </c>
      <c r="E5" s="151">
        <v>4</v>
      </c>
      <c r="F5" s="146">
        <v>5</v>
      </c>
      <c r="G5" s="141">
        <v>6</v>
      </c>
      <c r="H5" s="138" t="s">
        <v>50</v>
      </c>
      <c r="J5" s="125" t="s">
        <v>45</v>
      </c>
      <c r="K5" s="329" t="s">
        <v>46</v>
      </c>
      <c r="L5" s="297"/>
      <c r="M5" s="297"/>
      <c r="N5" s="297"/>
      <c r="O5" s="297"/>
      <c r="P5" s="330"/>
      <c r="Q5" s="302" t="s">
        <v>47</v>
      </c>
      <c r="R5" s="298"/>
    </row>
    <row r="6" spans="1:18" x14ac:dyDescent="0.3">
      <c r="A6" s="158">
        <v>1</v>
      </c>
      <c r="B6" s="121" t="s">
        <v>53</v>
      </c>
      <c r="C6" s="109">
        <v>48</v>
      </c>
      <c r="D6" s="59">
        <v>30</v>
      </c>
      <c r="E6" s="149">
        <v>1</v>
      </c>
      <c r="F6" s="145">
        <v>15</v>
      </c>
      <c r="G6" s="150">
        <v>8</v>
      </c>
      <c r="H6" s="215">
        <f t="shared" ref="H6:H25" si="0">SUM(C6:G6)</f>
        <v>102</v>
      </c>
      <c r="J6" s="126">
        <v>1</v>
      </c>
      <c r="K6" s="328" t="s">
        <v>201</v>
      </c>
      <c r="L6" s="328"/>
      <c r="M6" s="328"/>
      <c r="N6" s="328"/>
      <c r="O6" s="328"/>
      <c r="P6" s="328"/>
      <c r="Q6" s="303" t="s">
        <v>202</v>
      </c>
      <c r="R6" s="300"/>
    </row>
    <row r="7" spans="1:18" ht="15" thickBot="1" x14ac:dyDescent="0.35">
      <c r="A7" s="159">
        <v>2</v>
      </c>
      <c r="B7" s="122" t="s">
        <v>51</v>
      </c>
      <c r="C7" s="110">
        <v>56</v>
      </c>
      <c r="D7" s="60">
        <v>22</v>
      </c>
      <c r="E7" s="147"/>
      <c r="F7" s="133"/>
      <c r="G7" s="148"/>
      <c r="H7" s="216">
        <f t="shared" si="0"/>
        <v>78</v>
      </c>
      <c r="J7" s="127">
        <v>2</v>
      </c>
      <c r="K7" s="288" t="s">
        <v>194</v>
      </c>
      <c r="L7" s="288"/>
      <c r="M7" s="288"/>
      <c r="N7" s="288"/>
      <c r="O7" s="288"/>
      <c r="P7" s="288"/>
      <c r="Q7" s="304" t="s">
        <v>195</v>
      </c>
      <c r="R7" s="271"/>
    </row>
    <row r="8" spans="1:18" ht="15" thickBot="1" x14ac:dyDescent="0.35">
      <c r="A8" s="158">
        <v>3</v>
      </c>
      <c r="B8" s="122" t="s">
        <v>92</v>
      </c>
      <c r="C8" s="110">
        <v>56</v>
      </c>
      <c r="D8" s="60"/>
      <c r="E8" s="147"/>
      <c r="F8" s="133"/>
      <c r="G8" s="148"/>
      <c r="H8" s="216">
        <f t="shared" si="0"/>
        <v>56</v>
      </c>
      <c r="J8" s="135" t="s">
        <v>45</v>
      </c>
      <c r="K8" s="331" t="s">
        <v>99</v>
      </c>
      <c r="L8" s="332"/>
      <c r="M8" s="332"/>
      <c r="N8" s="332"/>
      <c r="O8" s="332"/>
      <c r="P8" s="333"/>
      <c r="Q8" s="309" t="s">
        <v>47</v>
      </c>
      <c r="R8" s="310"/>
    </row>
    <row r="9" spans="1:18" x14ac:dyDescent="0.3">
      <c r="A9" s="159">
        <v>4</v>
      </c>
      <c r="B9" s="122" t="s">
        <v>55</v>
      </c>
      <c r="C9" s="110">
        <v>30</v>
      </c>
      <c r="D9" s="60">
        <v>21</v>
      </c>
      <c r="E9" s="147"/>
      <c r="F9" s="133"/>
      <c r="G9" s="148"/>
      <c r="H9" s="216">
        <f t="shared" si="0"/>
        <v>51</v>
      </c>
      <c r="J9" s="144">
        <v>4</v>
      </c>
      <c r="K9" s="324" t="s">
        <v>370</v>
      </c>
      <c r="L9" s="325"/>
      <c r="M9" s="325"/>
      <c r="N9" s="325"/>
      <c r="O9" s="325"/>
      <c r="P9" s="326"/>
      <c r="Q9" s="307" t="s">
        <v>371</v>
      </c>
      <c r="R9" s="308"/>
    </row>
    <row r="10" spans="1:18" x14ac:dyDescent="0.3">
      <c r="A10" s="158">
        <v>5</v>
      </c>
      <c r="B10" s="122" t="s">
        <v>286</v>
      </c>
      <c r="C10" s="120">
        <v>20</v>
      </c>
      <c r="D10" s="62">
        <v>9</v>
      </c>
      <c r="E10" s="147"/>
      <c r="F10" s="133"/>
      <c r="G10" s="148"/>
      <c r="H10" s="216">
        <f t="shared" si="0"/>
        <v>29</v>
      </c>
      <c r="J10" s="142">
        <v>5</v>
      </c>
      <c r="K10" s="334" t="s">
        <v>373</v>
      </c>
      <c r="L10" s="334"/>
      <c r="M10" s="334"/>
      <c r="N10" s="334"/>
      <c r="O10" s="334"/>
      <c r="P10" s="334"/>
      <c r="Q10" s="311" t="s">
        <v>151</v>
      </c>
      <c r="R10" s="312"/>
    </row>
    <row r="11" spans="1:18" ht="15" thickBot="1" x14ac:dyDescent="0.35">
      <c r="A11" s="159">
        <v>6</v>
      </c>
      <c r="B11" s="122" t="s">
        <v>291</v>
      </c>
      <c r="C11" s="120"/>
      <c r="D11" s="62">
        <v>24</v>
      </c>
      <c r="E11" s="147"/>
      <c r="F11" s="133"/>
      <c r="G11" s="148"/>
      <c r="H11" s="216">
        <f t="shared" si="0"/>
        <v>24</v>
      </c>
      <c r="J11" s="143">
        <v>6</v>
      </c>
      <c r="K11" s="327" t="s">
        <v>375</v>
      </c>
      <c r="L11" s="327"/>
      <c r="M11" s="327"/>
      <c r="N11" s="327"/>
      <c r="O11" s="327"/>
      <c r="P11" s="327"/>
      <c r="Q11" s="305" t="s">
        <v>378</v>
      </c>
      <c r="R11" s="306"/>
    </row>
    <row r="12" spans="1:18" x14ac:dyDescent="0.3">
      <c r="A12" s="158">
        <v>7</v>
      </c>
      <c r="B12" s="122" t="s">
        <v>93</v>
      </c>
      <c r="C12" s="120"/>
      <c r="D12" s="62">
        <v>22</v>
      </c>
      <c r="E12" s="147">
        <v>1</v>
      </c>
      <c r="F12" s="133"/>
      <c r="G12" s="148"/>
      <c r="H12" s="216">
        <f t="shared" si="0"/>
        <v>23</v>
      </c>
    </row>
    <row r="13" spans="1:18" x14ac:dyDescent="0.3">
      <c r="A13" s="159">
        <v>8</v>
      </c>
      <c r="B13" s="122" t="s">
        <v>62</v>
      </c>
      <c r="C13" s="120">
        <v>22</v>
      </c>
      <c r="D13" s="62"/>
      <c r="E13" s="147"/>
      <c r="F13" s="133"/>
      <c r="G13" s="148"/>
      <c r="H13" s="216">
        <f t="shared" si="0"/>
        <v>22</v>
      </c>
    </row>
    <row r="14" spans="1:18" x14ac:dyDescent="0.3">
      <c r="A14" s="158">
        <v>9</v>
      </c>
      <c r="B14" s="122" t="s">
        <v>290</v>
      </c>
      <c r="C14" s="120">
        <v>16</v>
      </c>
      <c r="D14" s="62"/>
      <c r="E14" s="147">
        <v>6</v>
      </c>
      <c r="F14" s="133"/>
      <c r="G14" s="148"/>
      <c r="H14" s="216">
        <f t="shared" si="0"/>
        <v>22</v>
      </c>
    </row>
    <row r="15" spans="1:18" x14ac:dyDescent="0.3">
      <c r="A15" s="159">
        <v>10</v>
      </c>
      <c r="B15" s="122" t="s">
        <v>287</v>
      </c>
      <c r="C15" s="120">
        <v>12</v>
      </c>
      <c r="D15" s="62">
        <v>5</v>
      </c>
      <c r="E15" s="147"/>
      <c r="F15" s="133"/>
      <c r="G15" s="148"/>
      <c r="H15" s="216">
        <f t="shared" si="0"/>
        <v>17</v>
      </c>
    </row>
    <row r="16" spans="1:18" x14ac:dyDescent="0.3">
      <c r="A16" s="158">
        <v>11</v>
      </c>
      <c r="B16" s="122" t="s">
        <v>289</v>
      </c>
      <c r="C16" s="120">
        <v>10</v>
      </c>
      <c r="D16" s="62">
        <v>6</v>
      </c>
      <c r="E16" s="147"/>
      <c r="F16" s="133"/>
      <c r="G16" s="148"/>
      <c r="H16" s="216">
        <f t="shared" si="0"/>
        <v>16</v>
      </c>
    </row>
    <row r="17" spans="1:16" x14ac:dyDescent="0.3">
      <c r="A17" s="159">
        <v>12</v>
      </c>
      <c r="B17" s="162" t="s">
        <v>372</v>
      </c>
      <c r="C17" s="160"/>
      <c r="D17" s="72"/>
      <c r="E17" s="102">
        <v>6</v>
      </c>
      <c r="F17" s="157"/>
      <c r="G17" s="165"/>
      <c r="H17" s="216">
        <f t="shared" si="0"/>
        <v>6</v>
      </c>
    </row>
    <row r="18" spans="1:16" x14ac:dyDescent="0.3">
      <c r="A18" s="158">
        <v>13</v>
      </c>
      <c r="B18" s="162" t="s">
        <v>374</v>
      </c>
      <c r="C18" s="161"/>
      <c r="D18" s="58"/>
      <c r="E18" s="166"/>
      <c r="F18" s="75">
        <v>5</v>
      </c>
      <c r="G18" s="167"/>
      <c r="H18" s="216">
        <f t="shared" si="0"/>
        <v>5</v>
      </c>
    </row>
    <row r="19" spans="1:16" x14ac:dyDescent="0.3">
      <c r="A19" s="159">
        <v>14</v>
      </c>
      <c r="B19" s="122" t="s">
        <v>288</v>
      </c>
      <c r="C19" s="120">
        <v>4</v>
      </c>
      <c r="D19" s="62"/>
      <c r="E19" s="147"/>
      <c r="F19" s="133"/>
      <c r="G19" s="148"/>
      <c r="H19" s="216">
        <f t="shared" si="0"/>
        <v>4</v>
      </c>
    </row>
    <row r="20" spans="1:16" x14ac:dyDescent="0.3">
      <c r="A20" s="158">
        <v>15</v>
      </c>
      <c r="B20" s="122" t="s">
        <v>296</v>
      </c>
      <c r="C20" s="120"/>
      <c r="D20" s="62">
        <v>3</v>
      </c>
      <c r="E20" s="147"/>
      <c r="F20" s="133"/>
      <c r="G20" s="148"/>
      <c r="H20" s="216">
        <f t="shared" si="0"/>
        <v>3</v>
      </c>
    </row>
    <row r="21" spans="1:16" x14ac:dyDescent="0.3">
      <c r="A21" s="159">
        <v>16</v>
      </c>
      <c r="B21" s="122" t="s">
        <v>52</v>
      </c>
      <c r="C21" s="110">
        <v>2</v>
      </c>
      <c r="D21" s="60"/>
      <c r="E21" s="147"/>
      <c r="F21" s="133"/>
      <c r="G21" s="148"/>
      <c r="H21" s="216">
        <f t="shared" si="0"/>
        <v>2</v>
      </c>
    </row>
    <row r="22" spans="1:16" x14ac:dyDescent="0.3">
      <c r="A22" s="158">
        <v>17</v>
      </c>
      <c r="B22" s="122" t="s">
        <v>294</v>
      </c>
      <c r="C22" s="120"/>
      <c r="D22" s="62">
        <v>2</v>
      </c>
      <c r="E22" s="147"/>
      <c r="F22" s="133"/>
      <c r="G22" s="148"/>
      <c r="H22" s="216">
        <f t="shared" si="0"/>
        <v>2</v>
      </c>
      <c r="J22" s="64"/>
      <c r="K22" s="64"/>
      <c r="L22" s="64"/>
      <c r="M22" s="64"/>
      <c r="N22" s="64"/>
    </row>
    <row r="23" spans="1:16" x14ac:dyDescent="0.3">
      <c r="A23" s="159">
        <v>18</v>
      </c>
      <c r="B23" s="122" t="s">
        <v>377</v>
      </c>
      <c r="C23" s="161"/>
      <c r="D23" s="58"/>
      <c r="E23" s="166"/>
      <c r="F23" s="75"/>
      <c r="G23" s="167">
        <v>2</v>
      </c>
      <c r="H23" s="216">
        <f t="shared" si="0"/>
        <v>2</v>
      </c>
      <c r="I23" s="64"/>
      <c r="J23" s="69"/>
      <c r="K23" s="69"/>
      <c r="L23" s="323"/>
      <c r="M23" s="323"/>
      <c r="N23" s="323"/>
    </row>
    <row r="24" spans="1:16" x14ac:dyDescent="0.3">
      <c r="A24" s="158">
        <v>19</v>
      </c>
      <c r="B24" s="122" t="s">
        <v>295</v>
      </c>
      <c r="C24" s="120"/>
      <c r="D24" s="62">
        <v>1</v>
      </c>
      <c r="E24" s="147"/>
      <c r="F24" s="133"/>
      <c r="G24" s="148"/>
      <c r="H24" s="216">
        <f t="shared" si="0"/>
        <v>1</v>
      </c>
      <c r="I24" s="69"/>
      <c r="J24" s="65"/>
      <c r="K24" s="65"/>
      <c r="L24" s="322"/>
      <c r="M24" s="322"/>
      <c r="N24" s="322"/>
    </row>
    <row r="25" spans="1:16" ht="15" thickBot="1" x14ac:dyDescent="0.35">
      <c r="A25" s="163">
        <v>20</v>
      </c>
      <c r="B25" s="170" t="s">
        <v>376</v>
      </c>
      <c r="C25" s="164"/>
      <c r="D25" s="77"/>
      <c r="E25" s="168"/>
      <c r="F25" s="112"/>
      <c r="G25" s="169">
        <v>1</v>
      </c>
      <c r="H25" s="217">
        <f t="shared" si="0"/>
        <v>1</v>
      </c>
      <c r="I25" s="65"/>
      <c r="J25" s="65"/>
      <c r="K25" s="65"/>
      <c r="L25" s="65"/>
      <c r="M25" s="65"/>
      <c r="N25" s="322"/>
      <c r="O25" s="322"/>
      <c r="P25" s="114"/>
    </row>
  </sheetData>
  <sortState ref="B6:H42">
    <sortCondition descending="1" ref="H6:H42"/>
  </sortState>
  <mergeCells count="18">
    <mergeCell ref="A1:H4"/>
    <mergeCell ref="L24:N24"/>
    <mergeCell ref="L23:N23"/>
    <mergeCell ref="N25:O25"/>
    <mergeCell ref="K9:P9"/>
    <mergeCell ref="K11:P11"/>
    <mergeCell ref="K6:P6"/>
    <mergeCell ref="K7:P7"/>
    <mergeCell ref="K5:P5"/>
    <mergeCell ref="K8:P8"/>
    <mergeCell ref="K10:P10"/>
    <mergeCell ref="Q5:R5"/>
    <mergeCell ref="Q6:R6"/>
    <mergeCell ref="Q7:R7"/>
    <mergeCell ref="Q11:R11"/>
    <mergeCell ref="Q9:R9"/>
    <mergeCell ref="Q8:R8"/>
    <mergeCell ref="Q10:R10"/>
  </mergeCells>
  <conditionalFormatting sqref="B5:G5">
    <cfRule type="duplicateValues" dxfId="1" priority="6"/>
  </conditionalFormatting>
  <pageMargins left="0.7" right="0.7" top="0.75" bottom="0.75" header="0.3" footer="0.3"/>
  <pageSetup scale="91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workbookViewId="0">
      <selection activeCell="F13" sqref="F13"/>
    </sheetView>
  </sheetViews>
  <sheetFormatPr defaultRowHeight="14.4" x14ac:dyDescent="0.3"/>
  <cols>
    <col min="2" max="2" width="21.6640625" customWidth="1"/>
    <col min="3" max="6" width="8.33203125" customWidth="1"/>
    <col min="7" max="12" width="8.88671875" customWidth="1"/>
  </cols>
  <sheetData>
    <row r="1" spans="1:23" ht="14.4" customHeight="1" x14ac:dyDescent="0.3">
      <c r="A1" s="290" t="s">
        <v>337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</row>
    <row r="2" spans="1:23" ht="25.2" customHeight="1" thickBot="1" x14ac:dyDescent="0.35">
      <c r="A2" s="293"/>
      <c r="B2" s="294"/>
      <c r="C2" s="295"/>
      <c r="D2" s="295"/>
      <c r="E2" s="295"/>
      <c r="F2" s="295"/>
      <c r="G2" s="295"/>
      <c r="H2" s="295"/>
      <c r="I2" s="295"/>
      <c r="J2" s="295"/>
      <c r="K2" s="295"/>
      <c r="L2" s="295"/>
      <c r="M2" s="294"/>
    </row>
    <row r="3" spans="1:23" ht="15" thickBot="1" x14ac:dyDescent="0.35">
      <c r="A3" s="191" t="s">
        <v>48</v>
      </c>
      <c r="B3" s="362" t="s">
        <v>49</v>
      </c>
      <c r="C3" s="364">
        <v>1</v>
      </c>
      <c r="D3" s="365">
        <v>2</v>
      </c>
      <c r="E3" s="365">
        <v>3</v>
      </c>
      <c r="F3" s="365">
        <v>4</v>
      </c>
      <c r="G3" s="83">
        <v>1</v>
      </c>
      <c r="H3" s="83">
        <v>2</v>
      </c>
      <c r="I3" s="83">
        <v>3</v>
      </c>
      <c r="J3" s="83">
        <v>4</v>
      </c>
      <c r="K3" s="83">
        <v>5</v>
      </c>
      <c r="L3" s="366">
        <v>6</v>
      </c>
      <c r="M3" s="363" t="s">
        <v>50</v>
      </c>
    </row>
    <row r="4" spans="1:23" ht="15" thickBot="1" x14ac:dyDescent="0.35">
      <c r="A4" s="130">
        <v>1</v>
      </c>
      <c r="B4" s="185" t="s">
        <v>79</v>
      </c>
      <c r="C4" s="152"/>
      <c r="D4" s="67"/>
      <c r="E4" s="67"/>
      <c r="F4" s="67">
        <v>66</v>
      </c>
      <c r="G4" s="177">
        <v>48</v>
      </c>
      <c r="H4" s="86">
        <v>84</v>
      </c>
      <c r="I4" s="86">
        <v>7</v>
      </c>
      <c r="J4" s="86">
        <v>38</v>
      </c>
      <c r="K4" s="86">
        <v>105.5</v>
      </c>
      <c r="L4" s="88">
        <v>2</v>
      </c>
      <c r="M4" s="93">
        <f t="shared" ref="M4:M44" si="0">SUM(C4:L4)</f>
        <v>350.5</v>
      </c>
    </row>
    <row r="5" spans="1:23" ht="15" thickBot="1" x14ac:dyDescent="0.35">
      <c r="A5" s="116">
        <v>2</v>
      </c>
      <c r="B5" s="122" t="s">
        <v>53</v>
      </c>
      <c r="C5" s="153">
        <v>38</v>
      </c>
      <c r="D5" s="62"/>
      <c r="E5" s="62"/>
      <c r="F5" s="62">
        <v>74</v>
      </c>
      <c r="G5" s="178"/>
      <c r="H5" s="75"/>
      <c r="I5" s="75"/>
      <c r="J5" s="75"/>
      <c r="K5" s="86"/>
      <c r="L5" s="88"/>
      <c r="M5" s="93">
        <f t="shared" si="0"/>
        <v>112</v>
      </c>
      <c r="O5" s="56" t="s">
        <v>45</v>
      </c>
      <c r="P5" s="297" t="s">
        <v>46</v>
      </c>
      <c r="Q5" s="297"/>
      <c r="R5" s="297"/>
      <c r="S5" s="297"/>
      <c r="T5" s="297"/>
      <c r="U5" s="297"/>
      <c r="V5" s="297" t="s">
        <v>47</v>
      </c>
      <c r="W5" s="298"/>
    </row>
    <row r="6" spans="1:23" x14ac:dyDescent="0.3">
      <c r="A6" s="130">
        <v>3</v>
      </c>
      <c r="B6" s="122" t="s">
        <v>58</v>
      </c>
      <c r="C6" s="153"/>
      <c r="D6" s="62"/>
      <c r="E6" s="73"/>
      <c r="F6" s="73">
        <v>14</v>
      </c>
      <c r="G6" s="178"/>
      <c r="H6" s="75"/>
      <c r="I6" s="75">
        <v>7</v>
      </c>
      <c r="J6" s="75">
        <v>32</v>
      </c>
      <c r="K6" s="86">
        <v>46</v>
      </c>
      <c r="L6" s="88"/>
      <c r="M6" s="93">
        <f t="shared" si="0"/>
        <v>99</v>
      </c>
      <c r="O6" s="68">
        <v>1</v>
      </c>
      <c r="P6" s="281" t="s">
        <v>194</v>
      </c>
      <c r="Q6" s="282"/>
      <c r="R6" s="282"/>
      <c r="S6" s="282"/>
      <c r="T6" s="282"/>
      <c r="U6" s="283"/>
      <c r="V6" s="299" t="s">
        <v>195</v>
      </c>
      <c r="W6" s="300"/>
    </row>
    <row r="7" spans="1:23" x14ac:dyDescent="0.3">
      <c r="A7" s="116">
        <v>4</v>
      </c>
      <c r="B7" s="122" t="s">
        <v>352</v>
      </c>
      <c r="C7" s="153">
        <v>5</v>
      </c>
      <c r="D7" s="62"/>
      <c r="E7" s="62"/>
      <c r="F7" s="62">
        <v>42</v>
      </c>
      <c r="G7" s="179"/>
      <c r="H7" s="133">
        <v>42</v>
      </c>
      <c r="I7" s="133">
        <v>7</v>
      </c>
      <c r="J7" s="133"/>
      <c r="K7" s="145"/>
      <c r="L7" s="91"/>
      <c r="M7" s="93">
        <f t="shared" si="0"/>
        <v>96</v>
      </c>
      <c r="O7" s="70">
        <v>2</v>
      </c>
      <c r="P7" s="287" t="s">
        <v>180</v>
      </c>
      <c r="Q7" s="288"/>
      <c r="R7" s="288"/>
      <c r="S7" s="288"/>
      <c r="T7" s="288"/>
      <c r="U7" s="289"/>
      <c r="V7" s="268" t="s">
        <v>182</v>
      </c>
      <c r="W7" s="271"/>
    </row>
    <row r="8" spans="1:23" x14ac:dyDescent="0.3">
      <c r="A8" s="130">
        <v>5</v>
      </c>
      <c r="B8" s="122" t="s">
        <v>343</v>
      </c>
      <c r="C8" s="153">
        <v>41</v>
      </c>
      <c r="D8" s="62"/>
      <c r="E8" s="62"/>
      <c r="F8" s="62">
        <v>52</v>
      </c>
      <c r="G8" s="179"/>
      <c r="H8" s="133"/>
      <c r="I8" s="133"/>
      <c r="J8" s="133"/>
      <c r="K8" s="145"/>
      <c r="L8" s="91"/>
      <c r="M8" s="93">
        <f t="shared" si="0"/>
        <v>93</v>
      </c>
      <c r="O8" s="68">
        <v>3</v>
      </c>
      <c r="P8" s="287" t="s">
        <v>354</v>
      </c>
      <c r="Q8" s="288"/>
      <c r="R8" s="288"/>
      <c r="S8" s="288"/>
      <c r="T8" s="288"/>
      <c r="U8" s="289"/>
      <c r="V8" s="287" t="s">
        <v>355</v>
      </c>
      <c r="W8" s="301"/>
    </row>
    <row r="9" spans="1:23" ht="15" thickBot="1" x14ac:dyDescent="0.35">
      <c r="A9" s="116">
        <v>6</v>
      </c>
      <c r="B9" s="122" t="s">
        <v>346</v>
      </c>
      <c r="C9" s="153">
        <v>19</v>
      </c>
      <c r="D9" s="62"/>
      <c r="E9" s="62"/>
      <c r="F9" s="62">
        <v>68</v>
      </c>
      <c r="G9" s="179"/>
      <c r="H9" s="133"/>
      <c r="I9" s="133"/>
      <c r="J9" s="133"/>
      <c r="K9" s="145"/>
      <c r="L9" s="91"/>
      <c r="M9" s="93">
        <f t="shared" si="0"/>
        <v>87</v>
      </c>
      <c r="O9" s="70">
        <v>4</v>
      </c>
      <c r="P9" s="287" t="s">
        <v>201</v>
      </c>
      <c r="Q9" s="288"/>
      <c r="R9" s="288"/>
      <c r="S9" s="288"/>
      <c r="T9" s="288"/>
      <c r="U9" s="289"/>
      <c r="V9" s="268" t="s">
        <v>202</v>
      </c>
      <c r="W9" s="271"/>
    </row>
    <row r="10" spans="1:23" ht="15" thickBot="1" x14ac:dyDescent="0.35">
      <c r="A10" s="130">
        <v>7</v>
      </c>
      <c r="B10" s="122" t="s">
        <v>339</v>
      </c>
      <c r="C10" s="153">
        <v>32</v>
      </c>
      <c r="D10" s="62"/>
      <c r="E10" s="62"/>
      <c r="F10" s="62">
        <v>54</v>
      </c>
      <c r="G10" s="179"/>
      <c r="H10" s="133"/>
      <c r="I10" s="133"/>
      <c r="J10" s="133"/>
      <c r="K10" s="145"/>
      <c r="L10" s="91"/>
      <c r="M10" s="93">
        <f t="shared" si="0"/>
        <v>86</v>
      </c>
      <c r="O10" s="82" t="s">
        <v>45</v>
      </c>
      <c r="P10" s="276" t="s">
        <v>99</v>
      </c>
      <c r="Q10" s="276"/>
      <c r="R10" s="276"/>
      <c r="S10" s="276"/>
      <c r="T10" s="276"/>
      <c r="U10" s="276"/>
      <c r="V10" s="276" t="s">
        <v>47</v>
      </c>
      <c r="W10" s="277"/>
    </row>
    <row r="11" spans="1:23" x14ac:dyDescent="0.3">
      <c r="A11" s="116">
        <v>8</v>
      </c>
      <c r="B11" s="122" t="s">
        <v>366</v>
      </c>
      <c r="C11" s="153"/>
      <c r="D11" s="62"/>
      <c r="E11" s="73"/>
      <c r="F11" s="73">
        <v>80</v>
      </c>
      <c r="G11" s="181"/>
      <c r="H11" s="75"/>
      <c r="I11" s="75"/>
      <c r="J11" s="75"/>
      <c r="K11" s="86"/>
      <c r="L11" s="88"/>
      <c r="M11" s="93">
        <f t="shared" si="0"/>
        <v>80</v>
      </c>
      <c r="O11" s="175">
        <v>1</v>
      </c>
      <c r="P11" s="299" t="s">
        <v>379</v>
      </c>
      <c r="Q11" s="299"/>
      <c r="R11" s="299"/>
      <c r="S11" s="299"/>
      <c r="T11" s="299"/>
      <c r="U11" s="299"/>
      <c r="V11" s="299" t="s">
        <v>252</v>
      </c>
      <c r="W11" s="300"/>
    </row>
    <row r="12" spans="1:23" x14ac:dyDescent="0.3">
      <c r="A12" s="130">
        <v>9</v>
      </c>
      <c r="B12" s="186" t="s">
        <v>54</v>
      </c>
      <c r="C12" s="183"/>
      <c r="D12" s="58"/>
      <c r="E12" s="58"/>
      <c r="F12" s="58"/>
      <c r="G12" s="120"/>
      <c r="H12" s="62"/>
      <c r="I12" s="75">
        <v>11</v>
      </c>
      <c r="J12" s="75">
        <v>40</v>
      </c>
      <c r="K12" s="86">
        <v>22</v>
      </c>
      <c r="L12" s="172"/>
      <c r="M12" s="93">
        <f t="shared" si="0"/>
        <v>73</v>
      </c>
      <c r="O12" s="174">
        <v>2</v>
      </c>
      <c r="P12" s="335" t="s">
        <v>380</v>
      </c>
      <c r="Q12" s="335"/>
      <c r="R12" s="335"/>
      <c r="S12" s="335"/>
      <c r="T12" s="335"/>
      <c r="U12" s="335"/>
      <c r="V12" s="335" t="s">
        <v>256</v>
      </c>
      <c r="W12" s="336"/>
    </row>
    <row r="13" spans="1:23" x14ac:dyDescent="0.3">
      <c r="A13" s="116">
        <v>10</v>
      </c>
      <c r="B13" s="122" t="s">
        <v>338</v>
      </c>
      <c r="C13" s="153">
        <v>32</v>
      </c>
      <c r="D13" s="62"/>
      <c r="E13" s="62">
        <v>10</v>
      </c>
      <c r="F13" s="62">
        <v>28</v>
      </c>
      <c r="G13" s="179"/>
      <c r="H13" s="133"/>
      <c r="I13" s="133"/>
      <c r="J13" s="133"/>
      <c r="K13" s="145"/>
      <c r="L13" s="91"/>
      <c r="M13" s="93">
        <f t="shared" si="0"/>
        <v>70</v>
      </c>
      <c r="O13" s="174">
        <v>3</v>
      </c>
      <c r="P13" s="335" t="s">
        <v>381</v>
      </c>
      <c r="Q13" s="335"/>
      <c r="R13" s="335"/>
      <c r="S13" s="335"/>
      <c r="T13" s="335"/>
      <c r="U13" s="335"/>
      <c r="V13" s="335" t="s">
        <v>382</v>
      </c>
      <c r="W13" s="336"/>
    </row>
    <row r="14" spans="1:23" x14ac:dyDescent="0.3">
      <c r="A14" s="130">
        <v>11</v>
      </c>
      <c r="B14" s="122" t="s">
        <v>350</v>
      </c>
      <c r="C14" s="153">
        <v>13</v>
      </c>
      <c r="D14" s="62"/>
      <c r="E14" s="62"/>
      <c r="F14" s="62">
        <v>54</v>
      </c>
      <c r="G14" s="178"/>
      <c r="H14" s="75"/>
      <c r="I14" s="75"/>
      <c r="J14" s="75"/>
      <c r="K14" s="86"/>
      <c r="L14" s="88"/>
      <c r="M14" s="93">
        <f t="shared" si="0"/>
        <v>67</v>
      </c>
      <c r="O14" s="166">
        <v>4</v>
      </c>
      <c r="P14" s="339" t="s">
        <v>383</v>
      </c>
      <c r="Q14" s="334"/>
      <c r="R14" s="334"/>
      <c r="S14" s="334"/>
      <c r="T14" s="334"/>
      <c r="U14" s="340"/>
      <c r="V14" s="335" t="s">
        <v>384</v>
      </c>
      <c r="W14" s="336"/>
    </row>
    <row r="15" spans="1:23" x14ac:dyDescent="0.3">
      <c r="A15" s="116">
        <v>12</v>
      </c>
      <c r="B15" s="122" t="s">
        <v>368</v>
      </c>
      <c r="C15" s="153"/>
      <c r="D15" s="62"/>
      <c r="E15" s="62"/>
      <c r="F15" s="62">
        <v>56</v>
      </c>
      <c r="G15" s="179"/>
      <c r="H15" s="133"/>
      <c r="I15" s="133"/>
      <c r="J15" s="133"/>
      <c r="K15" s="145"/>
      <c r="L15" s="91"/>
      <c r="M15" s="93">
        <f t="shared" si="0"/>
        <v>56</v>
      </c>
      <c r="O15" s="174">
        <v>5</v>
      </c>
      <c r="P15" s="335" t="s">
        <v>385</v>
      </c>
      <c r="Q15" s="335"/>
      <c r="R15" s="335"/>
      <c r="S15" s="335"/>
      <c r="T15" s="335"/>
      <c r="U15" s="335"/>
      <c r="V15" s="335" t="s">
        <v>386</v>
      </c>
      <c r="W15" s="336"/>
    </row>
    <row r="16" spans="1:23" ht="15" thickBot="1" x14ac:dyDescent="0.35">
      <c r="A16" s="130">
        <v>13</v>
      </c>
      <c r="B16" s="122" t="s">
        <v>345</v>
      </c>
      <c r="C16" s="153">
        <v>42</v>
      </c>
      <c r="D16" s="62"/>
      <c r="E16" s="62">
        <v>12</v>
      </c>
      <c r="F16" s="62"/>
      <c r="G16" s="178"/>
      <c r="H16" s="75"/>
      <c r="I16" s="75"/>
      <c r="J16" s="75"/>
      <c r="K16" s="86"/>
      <c r="L16" s="88"/>
      <c r="M16" s="93">
        <f t="shared" si="0"/>
        <v>54</v>
      </c>
      <c r="O16" s="168">
        <v>6</v>
      </c>
      <c r="P16" s="337" t="s">
        <v>387</v>
      </c>
      <c r="Q16" s="337"/>
      <c r="R16" s="337"/>
      <c r="S16" s="337"/>
      <c r="T16" s="337"/>
      <c r="U16" s="337"/>
      <c r="V16" s="337" t="s">
        <v>388</v>
      </c>
      <c r="W16" s="338"/>
    </row>
    <row r="17" spans="1:18" x14ac:dyDescent="0.3">
      <c r="A17" s="116">
        <v>14</v>
      </c>
      <c r="B17" s="122" t="s">
        <v>348</v>
      </c>
      <c r="C17" s="153">
        <v>33</v>
      </c>
      <c r="D17" s="62"/>
      <c r="E17" s="62">
        <v>17</v>
      </c>
      <c r="F17" s="62"/>
      <c r="G17" s="179"/>
      <c r="H17" s="133"/>
      <c r="I17" s="133"/>
      <c r="J17" s="133"/>
      <c r="K17" s="145"/>
      <c r="L17" s="91"/>
      <c r="M17" s="93">
        <f t="shared" si="0"/>
        <v>50</v>
      </c>
    </row>
    <row r="18" spans="1:18" x14ac:dyDescent="0.3">
      <c r="A18" s="130">
        <v>15</v>
      </c>
      <c r="B18" s="122" t="s">
        <v>351</v>
      </c>
      <c r="C18" s="153">
        <v>7</v>
      </c>
      <c r="D18" s="62">
        <v>23</v>
      </c>
      <c r="E18" s="62"/>
      <c r="F18" s="62">
        <v>14</v>
      </c>
      <c r="G18" s="179"/>
      <c r="H18" s="133"/>
      <c r="I18" s="133"/>
      <c r="J18" s="133"/>
      <c r="K18" s="145"/>
      <c r="L18" s="91"/>
      <c r="M18" s="93">
        <f t="shared" si="0"/>
        <v>44</v>
      </c>
    </row>
    <row r="19" spans="1:18" x14ac:dyDescent="0.3">
      <c r="A19" s="116">
        <v>16</v>
      </c>
      <c r="B19" s="122" t="s">
        <v>59</v>
      </c>
      <c r="C19" s="153"/>
      <c r="D19" s="62"/>
      <c r="E19" s="62"/>
      <c r="F19" s="62">
        <v>42</v>
      </c>
      <c r="G19" s="178"/>
      <c r="H19" s="75"/>
      <c r="I19" s="75"/>
      <c r="J19" s="75"/>
      <c r="K19" s="75"/>
      <c r="L19" s="88"/>
      <c r="M19" s="93">
        <f t="shared" si="0"/>
        <v>42</v>
      </c>
    </row>
    <row r="20" spans="1:18" x14ac:dyDescent="0.3">
      <c r="A20" s="130">
        <v>17</v>
      </c>
      <c r="B20" s="122" t="s">
        <v>353</v>
      </c>
      <c r="C20" s="153"/>
      <c r="D20" s="62">
        <v>20</v>
      </c>
      <c r="E20" s="62"/>
      <c r="F20" s="62"/>
      <c r="G20" s="179"/>
      <c r="H20" s="133"/>
      <c r="I20" s="133"/>
      <c r="J20" s="133">
        <v>10</v>
      </c>
      <c r="K20" s="133">
        <v>12</v>
      </c>
      <c r="L20" s="91"/>
      <c r="M20" s="93">
        <f t="shared" si="0"/>
        <v>42</v>
      </c>
    </row>
    <row r="21" spans="1:18" x14ac:dyDescent="0.3">
      <c r="A21" s="116">
        <v>18</v>
      </c>
      <c r="B21" s="186" t="s">
        <v>60</v>
      </c>
      <c r="C21" s="153"/>
      <c r="D21" s="62"/>
      <c r="E21" s="73"/>
      <c r="F21" s="73">
        <v>40</v>
      </c>
      <c r="G21" s="120"/>
      <c r="H21" s="62"/>
      <c r="I21" s="75"/>
      <c r="J21" s="75"/>
      <c r="K21" s="75"/>
      <c r="L21" s="88"/>
      <c r="M21" s="93">
        <f t="shared" si="0"/>
        <v>40</v>
      </c>
    </row>
    <row r="22" spans="1:18" x14ac:dyDescent="0.3">
      <c r="A22" s="130">
        <v>19</v>
      </c>
      <c r="B22" s="187" t="s">
        <v>357</v>
      </c>
      <c r="C22" s="153"/>
      <c r="D22" s="62"/>
      <c r="E22" s="62">
        <v>9</v>
      </c>
      <c r="F22" s="62">
        <v>30</v>
      </c>
      <c r="G22" s="181"/>
      <c r="H22" s="75"/>
      <c r="I22" s="75"/>
      <c r="J22" s="75"/>
      <c r="K22" s="75"/>
      <c r="L22" s="88"/>
      <c r="M22" s="93">
        <f t="shared" si="0"/>
        <v>39</v>
      </c>
    </row>
    <row r="23" spans="1:18" x14ac:dyDescent="0.3">
      <c r="A23" s="116">
        <v>20</v>
      </c>
      <c r="B23" s="186" t="s">
        <v>369</v>
      </c>
      <c r="C23" s="153"/>
      <c r="D23" s="62"/>
      <c r="E23" s="62"/>
      <c r="F23" s="62">
        <v>38</v>
      </c>
      <c r="G23" s="178"/>
      <c r="H23" s="75"/>
      <c r="I23" s="75"/>
      <c r="J23" s="75"/>
      <c r="K23" s="75"/>
      <c r="L23" s="88"/>
      <c r="M23" s="93">
        <f t="shared" si="0"/>
        <v>38</v>
      </c>
    </row>
    <row r="24" spans="1:18" x14ac:dyDescent="0.3">
      <c r="A24" s="130">
        <v>21</v>
      </c>
      <c r="B24" s="122" t="s">
        <v>349</v>
      </c>
      <c r="C24" s="153">
        <v>22</v>
      </c>
      <c r="D24" s="62"/>
      <c r="E24" s="62"/>
      <c r="F24" s="62">
        <v>10</v>
      </c>
      <c r="G24" s="179"/>
      <c r="H24" s="133"/>
      <c r="I24" s="133"/>
      <c r="J24" s="133"/>
      <c r="K24" s="133"/>
      <c r="L24" s="91"/>
      <c r="M24" s="93">
        <f t="shared" si="0"/>
        <v>32</v>
      </c>
      <c r="R24" s="76"/>
    </row>
    <row r="25" spans="1:18" x14ac:dyDescent="0.3">
      <c r="A25" s="116">
        <v>22</v>
      </c>
      <c r="B25" s="122" t="s">
        <v>344</v>
      </c>
      <c r="C25" s="153">
        <v>31</v>
      </c>
      <c r="D25" s="62"/>
      <c r="E25" s="62"/>
      <c r="F25" s="62"/>
      <c r="G25" s="179"/>
      <c r="H25" s="133"/>
      <c r="I25" s="133"/>
      <c r="J25" s="133"/>
      <c r="K25" s="133"/>
      <c r="L25" s="91"/>
      <c r="M25" s="93">
        <f t="shared" si="0"/>
        <v>31</v>
      </c>
      <c r="R25" s="76"/>
    </row>
    <row r="26" spans="1:18" x14ac:dyDescent="0.3">
      <c r="A26" s="130">
        <v>23</v>
      </c>
      <c r="B26" s="122" t="s">
        <v>61</v>
      </c>
      <c r="C26" s="153"/>
      <c r="D26" s="62"/>
      <c r="E26" s="62"/>
      <c r="F26" s="62">
        <v>30</v>
      </c>
      <c r="G26" s="178"/>
      <c r="H26" s="75"/>
      <c r="I26" s="75"/>
      <c r="J26" s="75"/>
      <c r="K26" s="75"/>
      <c r="L26" s="88"/>
      <c r="M26" s="93">
        <f t="shared" si="0"/>
        <v>30</v>
      </c>
      <c r="R26" s="76"/>
    </row>
    <row r="27" spans="1:18" x14ac:dyDescent="0.3">
      <c r="A27" s="116">
        <v>24</v>
      </c>
      <c r="B27" s="188" t="s">
        <v>342</v>
      </c>
      <c r="C27" s="153">
        <v>18</v>
      </c>
      <c r="D27" s="62"/>
      <c r="E27" s="62"/>
      <c r="F27" s="62">
        <v>10</v>
      </c>
      <c r="G27" s="179"/>
      <c r="H27" s="133"/>
      <c r="I27" s="133"/>
      <c r="J27" s="133"/>
      <c r="K27" s="133"/>
      <c r="L27" s="91"/>
      <c r="M27" s="93">
        <f t="shared" si="0"/>
        <v>28</v>
      </c>
      <c r="R27" s="76"/>
    </row>
    <row r="28" spans="1:18" x14ac:dyDescent="0.3">
      <c r="A28" s="130">
        <v>25</v>
      </c>
      <c r="B28" s="122" t="s">
        <v>365</v>
      </c>
      <c r="C28" s="153"/>
      <c r="D28" s="62"/>
      <c r="E28" s="62"/>
      <c r="F28" s="62">
        <v>26</v>
      </c>
      <c r="G28" s="179"/>
      <c r="H28" s="133"/>
      <c r="I28" s="133"/>
      <c r="J28" s="133"/>
      <c r="K28" s="133"/>
      <c r="L28" s="91"/>
      <c r="M28" s="93">
        <f t="shared" si="0"/>
        <v>26</v>
      </c>
      <c r="R28" s="76"/>
    </row>
    <row r="29" spans="1:18" x14ac:dyDescent="0.3">
      <c r="A29" s="116">
        <v>26</v>
      </c>
      <c r="B29" s="122" t="s">
        <v>367</v>
      </c>
      <c r="C29" s="153"/>
      <c r="D29" s="62"/>
      <c r="E29" s="60"/>
      <c r="F29" s="60">
        <v>26</v>
      </c>
      <c r="G29" s="178"/>
      <c r="H29" s="75"/>
      <c r="I29" s="75"/>
      <c r="J29" s="75"/>
      <c r="K29" s="75"/>
      <c r="L29" s="88"/>
      <c r="M29" s="93">
        <f t="shared" si="0"/>
        <v>26</v>
      </c>
      <c r="R29" s="81"/>
    </row>
    <row r="30" spans="1:18" x14ac:dyDescent="0.3">
      <c r="A30" s="130">
        <v>27</v>
      </c>
      <c r="B30" s="122" t="s">
        <v>293</v>
      </c>
      <c r="C30" s="153">
        <v>23</v>
      </c>
      <c r="D30" s="62"/>
      <c r="E30" s="62"/>
      <c r="F30" s="62">
        <v>2</v>
      </c>
      <c r="G30" s="181"/>
      <c r="H30" s="75"/>
      <c r="I30" s="75"/>
      <c r="J30" s="75"/>
      <c r="K30" s="75"/>
      <c r="L30" s="88"/>
      <c r="M30" s="93">
        <f t="shared" si="0"/>
        <v>25</v>
      </c>
      <c r="R30" s="81"/>
    </row>
    <row r="31" spans="1:18" x14ac:dyDescent="0.3">
      <c r="A31" s="116">
        <v>28</v>
      </c>
      <c r="B31" s="122" t="s">
        <v>347</v>
      </c>
      <c r="C31" s="184">
        <v>24</v>
      </c>
      <c r="D31" s="71"/>
      <c r="E31" s="71"/>
      <c r="F31" s="71"/>
      <c r="G31" s="180"/>
      <c r="H31" s="173"/>
      <c r="I31" s="75"/>
      <c r="J31" s="75"/>
      <c r="K31" s="75"/>
      <c r="L31" s="88"/>
      <c r="M31" s="93">
        <f t="shared" si="0"/>
        <v>24</v>
      </c>
      <c r="R31" s="76"/>
    </row>
    <row r="32" spans="1:18" x14ac:dyDescent="0.3">
      <c r="A32" s="130">
        <v>29</v>
      </c>
      <c r="B32" s="122" t="s">
        <v>361</v>
      </c>
      <c r="C32" s="153"/>
      <c r="D32" s="62"/>
      <c r="E32" s="62">
        <v>5</v>
      </c>
      <c r="F32" s="62">
        <v>16</v>
      </c>
      <c r="G32" s="180"/>
      <c r="H32" s="173"/>
      <c r="I32" s="75"/>
      <c r="J32" s="75"/>
      <c r="K32" s="75"/>
      <c r="L32" s="88"/>
      <c r="M32" s="93">
        <f t="shared" si="0"/>
        <v>21</v>
      </c>
      <c r="R32" s="76"/>
    </row>
    <row r="33" spans="1:18" x14ac:dyDescent="0.3">
      <c r="A33" s="116">
        <v>30</v>
      </c>
      <c r="B33" s="122" t="s">
        <v>341</v>
      </c>
      <c r="C33" s="153">
        <v>19</v>
      </c>
      <c r="D33" s="62"/>
      <c r="E33" s="62"/>
      <c r="F33" s="62"/>
      <c r="G33" s="226"/>
      <c r="H33" s="227"/>
      <c r="I33" s="133"/>
      <c r="J33" s="133"/>
      <c r="K33" s="133"/>
      <c r="L33" s="91"/>
      <c r="M33" s="93">
        <f t="shared" si="0"/>
        <v>19</v>
      </c>
      <c r="R33" s="76"/>
    </row>
    <row r="34" spans="1:18" x14ac:dyDescent="0.3">
      <c r="A34" s="130">
        <v>31</v>
      </c>
      <c r="B34" s="122" t="s">
        <v>292</v>
      </c>
      <c r="C34" s="153">
        <v>15</v>
      </c>
      <c r="D34" s="62"/>
      <c r="E34" s="62"/>
      <c r="F34" s="62"/>
      <c r="G34" s="226"/>
      <c r="H34" s="227"/>
      <c r="I34" s="133"/>
      <c r="J34" s="133"/>
      <c r="K34" s="133"/>
      <c r="L34" s="91"/>
      <c r="M34" s="93">
        <f t="shared" si="0"/>
        <v>15</v>
      </c>
      <c r="R34" s="76"/>
    </row>
    <row r="35" spans="1:18" x14ac:dyDescent="0.3">
      <c r="A35" s="116">
        <v>32</v>
      </c>
      <c r="B35" s="188" t="s">
        <v>356</v>
      </c>
      <c r="C35" s="153"/>
      <c r="D35" s="62"/>
      <c r="E35" s="62">
        <v>14</v>
      </c>
      <c r="F35" s="62"/>
      <c r="G35" s="178"/>
      <c r="H35" s="75"/>
      <c r="I35" s="75"/>
      <c r="J35" s="75"/>
      <c r="K35" s="75"/>
      <c r="L35" s="88"/>
      <c r="M35" s="93">
        <f t="shared" si="0"/>
        <v>14</v>
      </c>
      <c r="R35" s="81"/>
    </row>
    <row r="36" spans="1:18" x14ac:dyDescent="0.3">
      <c r="A36" s="130">
        <v>33</v>
      </c>
      <c r="B36" s="122" t="s">
        <v>56</v>
      </c>
      <c r="C36" s="153">
        <v>9</v>
      </c>
      <c r="D36" s="62">
        <v>2</v>
      </c>
      <c r="E36" s="62"/>
      <c r="F36" s="62"/>
      <c r="G36" s="179"/>
      <c r="H36" s="133"/>
      <c r="I36" s="133"/>
      <c r="J36" s="133"/>
      <c r="K36" s="133"/>
      <c r="L36" s="91"/>
      <c r="M36" s="93">
        <f t="shared" si="0"/>
        <v>11</v>
      </c>
      <c r="R36" s="76"/>
    </row>
    <row r="37" spans="1:18" x14ac:dyDescent="0.3">
      <c r="A37" s="116">
        <v>34</v>
      </c>
      <c r="B37" s="122" t="s">
        <v>340</v>
      </c>
      <c r="C37" s="153">
        <v>10</v>
      </c>
      <c r="D37" s="62"/>
      <c r="E37" s="62"/>
      <c r="F37" s="62"/>
      <c r="G37" s="178"/>
      <c r="H37" s="75"/>
      <c r="I37" s="75"/>
      <c r="J37" s="75"/>
      <c r="K37" s="75"/>
      <c r="L37" s="89"/>
      <c r="M37" s="93">
        <f t="shared" si="0"/>
        <v>10</v>
      </c>
      <c r="R37" s="76"/>
    </row>
    <row r="38" spans="1:18" x14ac:dyDescent="0.3">
      <c r="A38" s="130">
        <v>35</v>
      </c>
      <c r="B38" s="122" t="s">
        <v>93</v>
      </c>
      <c r="C38" s="153">
        <v>9</v>
      </c>
      <c r="D38" s="62"/>
      <c r="E38" s="62"/>
      <c r="F38" s="62"/>
      <c r="G38" s="178"/>
      <c r="H38" s="75"/>
      <c r="I38" s="75"/>
      <c r="J38" s="75"/>
      <c r="K38" s="75"/>
      <c r="L38" s="89"/>
      <c r="M38" s="93">
        <f t="shared" si="0"/>
        <v>9</v>
      </c>
      <c r="R38" s="76"/>
    </row>
    <row r="39" spans="1:18" x14ac:dyDescent="0.3">
      <c r="A39" s="116">
        <v>36</v>
      </c>
      <c r="B39" s="122" t="s">
        <v>358</v>
      </c>
      <c r="C39" s="153"/>
      <c r="D39" s="62"/>
      <c r="E39" s="60">
        <v>8</v>
      </c>
      <c r="F39" s="60"/>
      <c r="G39" s="178"/>
      <c r="H39" s="75"/>
      <c r="I39" s="75"/>
      <c r="J39" s="75"/>
      <c r="K39" s="75"/>
      <c r="L39" s="89"/>
      <c r="M39" s="93">
        <f t="shared" si="0"/>
        <v>8</v>
      </c>
      <c r="R39" s="76"/>
    </row>
    <row r="40" spans="1:18" x14ac:dyDescent="0.3">
      <c r="A40" s="130">
        <v>37</v>
      </c>
      <c r="B40" s="186" t="s">
        <v>359</v>
      </c>
      <c r="C40" s="153"/>
      <c r="D40" s="62"/>
      <c r="E40" s="62">
        <v>7</v>
      </c>
      <c r="F40" s="62"/>
      <c r="G40" s="178"/>
      <c r="H40" s="75"/>
      <c r="I40" s="75"/>
      <c r="J40" s="75"/>
      <c r="K40" s="75"/>
      <c r="L40" s="89"/>
      <c r="M40" s="93">
        <f t="shared" si="0"/>
        <v>7</v>
      </c>
      <c r="R40" s="76"/>
    </row>
    <row r="41" spans="1:18" x14ac:dyDescent="0.3">
      <c r="A41" s="116">
        <v>38</v>
      </c>
      <c r="B41" s="122" t="s">
        <v>360</v>
      </c>
      <c r="C41" s="153"/>
      <c r="D41" s="62"/>
      <c r="E41" s="62">
        <v>6</v>
      </c>
      <c r="F41" s="62"/>
      <c r="G41" s="179"/>
      <c r="H41" s="133"/>
      <c r="I41" s="133"/>
      <c r="J41" s="133"/>
      <c r="K41" s="133"/>
      <c r="L41" s="190"/>
      <c r="M41" s="93">
        <f t="shared" si="0"/>
        <v>6</v>
      </c>
      <c r="R41" s="76"/>
    </row>
    <row r="42" spans="1:18" x14ac:dyDescent="0.3">
      <c r="A42" s="130">
        <v>39</v>
      </c>
      <c r="B42" s="122" t="s">
        <v>362</v>
      </c>
      <c r="C42" s="153"/>
      <c r="D42" s="62"/>
      <c r="E42" s="62">
        <v>3</v>
      </c>
      <c r="F42" s="62"/>
      <c r="G42" s="178"/>
      <c r="H42" s="75"/>
      <c r="I42" s="75"/>
      <c r="J42" s="75"/>
      <c r="K42" s="75"/>
      <c r="L42" s="89"/>
      <c r="M42" s="93">
        <f t="shared" si="0"/>
        <v>3</v>
      </c>
      <c r="R42" s="76"/>
    </row>
    <row r="43" spans="1:18" x14ac:dyDescent="0.3">
      <c r="A43" s="116">
        <v>40</v>
      </c>
      <c r="B43" s="122" t="s">
        <v>363</v>
      </c>
      <c r="C43" s="153"/>
      <c r="D43" s="62"/>
      <c r="E43" s="62">
        <v>2</v>
      </c>
      <c r="F43" s="62"/>
      <c r="G43" s="178"/>
      <c r="H43" s="75"/>
      <c r="I43" s="75"/>
      <c r="J43" s="75"/>
      <c r="K43" s="75"/>
      <c r="L43" s="89"/>
      <c r="M43" s="93">
        <f t="shared" si="0"/>
        <v>2</v>
      </c>
      <c r="R43" s="76"/>
    </row>
    <row r="44" spans="1:18" ht="15" thickBot="1" x14ac:dyDescent="0.35">
      <c r="A44" s="131">
        <v>41</v>
      </c>
      <c r="B44" s="123" t="s">
        <v>364</v>
      </c>
      <c r="C44" s="228"/>
      <c r="D44" s="78"/>
      <c r="E44" s="78">
        <v>1</v>
      </c>
      <c r="F44" s="78"/>
      <c r="G44" s="192"/>
      <c r="H44" s="112"/>
      <c r="I44" s="112"/>
      <c r="J44" s="112"/>
      <c r="K44" s="112"/>
      <c r="L44" s="113"/>
      <c r="M44" s="94">
        <f t="shared" si="0"/>
        <v>1</v>
      </c>
      <c r="R44" s="76"/>
    </row>
    <row r="45" spans="1:18" x14ac:dyDescent="0.3">
      <c r="G45" s="134"/>
      <c r="H45" s="134"/>
      <c r="I45" s="134"/>
      <c r="J45" s="134"/>
      <c r="K45" s="134"/>
    </row>
    <row r="46" spans="1:18" x14ac:dyDescent="0.3">
      <c r="G46" s="134"/>
      <c r="H46" s="134"/>
      <c r="I46" s="134"/>
      <c r="J46" s="134"/>
      <c r="K46" s="134"/>
    </row>
  </sheetData>
  <sortState ref="B4:M58">
    <sortCondition descending="1" ref="M4:M58"/>
  </sortState>
  <mergeCells count="25">
    <mergeCell ref="A1:M2"/>
    <mergeCell ref="P5:U5"/>
    <mergeCell ref="V5:W5"/>
    <mergeCell ref="P6:U6"/>
    <mergeCell ref="V6:W6"/>
    <mergeCell ref="V10:W10"/>
    <mergeCell ref="P10:U10"/>
    <mergeCell ref="V11:W11"/>
    <mergeCell ref="P11:U11"/>
    <mergeCell ref="P7:U7"/>
    <mergeCell ref="V7:W7"/>
    <mergeCell ref="P8:U8"/>
    <mergeCell ref="V8:W8"/>
    <mergeCell ref="P9:U9"/>
    <mergeCell ref="V9:W9"/>
    <mergeCell ref="V15:W15"/>
    <mergeCell ref="P15:U15"/>
    <mergeCell ref="P16:U16"/>
    <mergeCell ref="V16:W16"/>
    <mergeCell ref="P12:U12"/>
    <mergeCell ref="V12:W12"/>
    <mergeCell ref="P13:U13"/>
    <mergeCell ref="V13:W13"/>
    <mergeCell ref="P14:U14"/>
    <mergeCell ref="V14:W14"/>
  </mergeCells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workbookViewId="0">
      <selection activeCell="P7" sqref="P7:Q7"/>
    </sheetView>
  </sheetViews>
  <sheetFormatPr defaultRowHeight="14.4" x14ac:dyDescent="0.3"/>
  <cols>
    <col min="2" max="2" width="21.77734375" customWidth="1"/>
    <col min="3" max="5" width="9.77734375" customWidth="1"/>
  </cols>
  <sheetData>
    <row r="1" spans="1:17" x14ac:dyDescent="0.3">
      <c r="A1" s="313" t="s">
        <v>401</v>
      </c>
      <c r="B1" s="314"/>
      <c r="C1" s="314"/>
      <c r="D1" s="314"/>
      <c r="E1" s="314"/>
      <c r="F1" s="315"/>
    </row>
    <row r="2" spans="1:17" ht="15" customHeight="1" thickBot="1" x14ac:dyDescent="0.35">
      <c r="A2" s="316"/>
      <c r="B2" s="317"/>
      <c r="C2" s="317"/>
      <c r="D2" s="317"/>
      <c r="E2" s="317"/>
      <c r="F2" s="318"/>
    </row>
    <row r="3" spans="1:17" ht="15" thickBot="1" x14ac:dyDescent="0.35">
      <c r="A3" s="140" t="s">
        <v>48</v>
      </c>
      <c r="B3" s="61" t="s">
        <v>49</v>
      </c>
      <c r="C3" s="129">
        <v>1</v>
      </c>
      <c r="D3" s="66">
        <v>2</v>
      </c>
      <c r="E3" s="66">
        <v>3</v>
      </c>
      <c r="F3" s="95" t="s">
        <v>50</v>
      </c>
    </row>
    <row r="4" spans="1:17" ht="15" thickBot="1" x14ac:dyDescent="0.35">
      <c r="A4" s="158">
        <v>1</v>
      </c>
      <c r="B4" s="187" t="s">
        <v>86</v>
      </c>
      <c r="C4" s="199">
        <v>26</v>
      </c>
      <c r="D4" s="195">
        <v>174</v>
      </c>
      <c r="E4" s="195">
        <v>24</v>
      </c>
      <c r="F4" s="96">
        <f t="shared" ref="F4:F29" si="0">SUM(C4:E4)</f>
        <v>224</v>
      </c>
    </row>
    <row r="5" spans="1:17" ht="15" thickBot="1" x14ac:dyDescent="0.35">
      <c r="A5" s="159">
        <v>2</v>
      </c>
      <c r="B5" s="122" t="s">
        <v>89</v>
      </c>
      <c r="C5" s="200">
        <v>13</v>
      </c>
      <c r="D5" s="196">
        <v>106.5</v>
      </c>
      <c r="E5" s="196">
        <v>15</v>
      </c>
      <c r="F5" s="96">
        <f t="shared" si="0"/>
        <v>134.5</v>
      </c>
      <c r="H5" s="132" t="s">
        <v>45</v>
      </c>
      <c r="I5" s="297" t="s">
        <v>46</v>
      </c>
      <c r="J5" s="297"/>
      <c r="K5" s="297"/>
      <c r="L5" s="297"/>
      <c r="M5" s="297"/>
      <c r="N5" s="297"/>
      <c r="O5" s="297"/>
      <c r="P5" s="330" t="s">
        <v>47</v>
      </c>
      <c r="Q5" s="347"/>
    </row>
    <row r="6" spans="1:17" x14ac:dyDescent="0.3">
      <c r="A6" s="158">
        <v>3</v>
      </c>
      <c r="B6" s="122" t="s">
        <v>80</v>
      </c>
      <c r="C6" s="200">
        <v>9</v>
      </c>
      <c r="D6" s="196">
        <v>81</v>
      </c>
      <c r="E6" s="196">
        <v>6</v>
      </c>
      <c r="F6" s="96">
        <f t="shared" si="0"/>
        <v>96</v>
      </c>
      <c r="H6" s="68">
        <v>1</v>
      </c>
      <c r="I6" s="281" t="s">
        <v>194</v>
      </c>
      <c r="J6" s="282"/>
      <c r="K6" s="282"/>
      <c r="L6" s="282"/>
      <c r="M6" s="282"/>
      <c r="N6" s="282"/>
      <c r="O6" s="283"/>
      <c r="P6" s="345" t="s">
        <v>195</v>
      </c>
      <c r="Q6" s="346"/>
    </row>
    <row r="7" spans="1:17" x14ac:dyDescent="0.3">
      <c r="A7" s="159">
        <v>4</v>
      </c>
      <c r="B7" s="122" t="s">
        <v>126</v>
      </c>
      <c r="C7" s="200"/>
      <c r="D7" s="196">
        <v>68</v>
      </c>
      <c r="E7" s="196"/>
      <c r="F7" s="96">
        <f t="shared" si="0"/>
        <v>68</v>
      </c>
      <c r="H7" s="70">
        <v>2</v>
      </c>
      <c r="I7" s="287" t="s">
        <v>201</v>
      </c>
      <c r="J7" s="288"/>
      <c r="K7" s="288"/>
      <c r="L7" s="288"/>
      <c r="M7" s="288"/>
      <c r="N7" s="288"/>
      <c r="O7" s="289"/>
      <c r="P7" s="287" t="s">
        <v>202</v>
      </c>
      <c r="Q7" s="301"/>
    </row>
    <row r="8" spans="1:17" ht="15" thickBot="1" x14ac:dyDescent="0.35">
      <c r="A8" s="158">
        <v>5</v>
      </c>
      <c r="B8" s="122" t="s">
        <v>397</v>
      </c>
      <c r="C8" s="200"/>
      <c r="D8" s="196">
        <v>68</v>
      </c>
      <c r="E8" s="196"/>
      <c r="F8" s="96">
        <f t="shared" si="0"/>
        <v>68</v>
      </c>
      <c r="H8" s="98">
        <v>3</v>
      </c>
      <c r="I8" s="341" t="s">
        <v>180</v>
      </c>
      <c r="J8" s="342"/>
      <c r="K8" s="342"/>
      <c r="L8" s="342"/>
      <c r="M8" s="342"/>
      <c r="N8" s="342"/>
      <c r="O8" s="343"/>
      <c r="P8" s="341" t="s">
        <v>182</v>
      </c>
      <c r="Q8" s="344"/>
    </row>
    <row r="9" spans="1:17" x14ac:dyDescent="0.3">
      <c r="A9" s="159">
        <v>6</v>
      </c>
      <c r="B9" s="122" t="s">
        <v>391</v>
      </c>
      <c r="C9" s="200"/>
      <c r="D9" s="196">
        <v>66</v>
      </c>
      <c r="E9" s="196"/>
      <c r="F9" s="96">
        <f t="shared" si="0"/>
        <v>66</v>
      </c>
    </row>
    <row r="10" spans="1:17" x14ac:dyDescent="0.3">
      <c r="A10" s="158">
        <v>7</v>
      </c>
      <c r="B10" s="122" t="s">
        <v>79</v>
      </c>
      <c r="C10" s="200"/>
      <c r="D10" s="196">
        <v>63.5</v>
      </c>
      <c r="E10" s="196"/>
      <c r="F10" s="96">
        <f t="shared" si="0"/>
        <v>63.5</v>
      </c>
    </row>
    <row r="11" spans="1:17" x14ac:dyDescent="0.3">
      <c r="A11" s="159">
        <v>8</v>
      </c>
      <c r="B11" s="186" t="s">
        <v>395</v>
      </c>
      <c r="C11" s="200"/>
      <c r="D11" s="196">
        <v>60</v>
      </c>
      <c r="E11" s="196"/>
      <c r="F11" s="96">
        <f t="shared" si="0"/>
        <v>60</v>
      </c>
    </row>
    <row r="12" spans="1:17" x14ac:dyDescent="0.3">
      <c r="A12" s="158">
        <v>9</v>
      </c>
      <c r="B12" s="122" t="s">
        <v>399</v>
      </c>
      <c r="C12" s="200"/>
      <c r="D12" s="196">
        <v>54</v>
      </c>
      <c r="E12" s="196"/>
      <c r="F12" s="96">
        <f t="shared" si="0"/>
        <v>54</v>
      </c>
    </row>
    <row r="13" spans="1:17" x14ac:dyDescent="0.3">
      <c r="A13" s="159">
        <v>10</v>
      </c>
      <c r="B13" s="122" t="s">
        <v>393</v>
      </c>
      <c r="C13" s="200"/>
      <c r="D13" s="196">
        <v>54</v>
      </c>
      <c r="E13" s="196"/>
      <c r="F13" s="96">
        <f t="shared" si="0"/>
        <v>54</v>
      </c>
    </row>
    <row r="14" spans="1:17" x14ac:dyDescent="0.3">
      <c r="A14" s="158">
        <v>11</v>
      </c>
      <c r="B14" s="122" t="s">
        <v>82</v>
      </c>
      <c r="C14" s="200">
        <v>10</v>
      </c>
      <c r="D14" s="196">
        <v>42.5</v>
      </c>
      <c r="E14" s="196"/>
      <c r="F14" s="96">
        <f t="shared" si="0"/>
        <v>52.5</v>
      </c>
      <c r="I14" s="80"/>
    </row>
    <row r="15" spans="1:17" x14ac:dyDescent="0.3">
      <c r="A15" s="159">
        <v>12</v>
      </c>
      <c r="B15" s="122" t="s">
        <v>125</v>
      </c>
      <c r="C15" s="201"/>
      <c r="D15" s="196">
        <v>52</v>
      </c>
      <c r="E15" s="196"/>
      <c r="F15" s="96">
        <f t="shared" si="0"/>
        <v>52</v>
      </c>
      <c r="I15" s="80"/>
    </row>
    <row r="16" spans="1:17" x14ac:dyDescent="0.3">
      <c r="A16" s="158">
        <v>13</v>
      </c>
      <c r="B16" s="122" t="s">
        <v>396</v>
      </c>
      <c r="C16" s="200"/>
      <c r="D16" s="196">
        <v>48</v>
      </c>
      <c r="E16" s="197"/>
      <c r="F16" s="96">
        <f t="shared" si="0"/>
        <v>48</v>
      </c>
      <c r="I16" s="80"/>
    </row>
    <row r="17" spans="1:9" x14ac:dyDescent="0.3">
      <c r="A17" s="159">
        <v>14</v>
      </c>
      <c r="B17" s="122" t="s">
        <v>394</v>
      </c>
      <c r="C17" s="200"/>
      <c r="D17" s="196">
        <v>46</v>
      </c>
      <c r="E17" s="197"/>
      <c r="F17" s="96">
        <f t="shared" si="0"/>
        <v>46</v>
      </c>
      <c r="I17" s="80"/>
    </row>
    <row r="18" spans="1:9" x14ac:dyDescent="0.3">
      <c r="A18" s="158">
        <v>15</v>
      </c>
      <c r="B18" s="122" t="s">
        <v>392</v>
      </c>
      <c r="C18" s="200"/>
      <c r="D18" s="196">
        <v>38</v>
      </c>
      <c r="E18" s="196"/>
      <c r="F18" s="96">
        <f t="shared" si="0"/>
        <v>38</v>
      </c>
      <c r="I18" s="80"/>
    </row>
    <row r="19" spans="1:9" x14ac:dyDescent="0.3">
      <c r="A19" s="159">
        <v>16</v>
      </c>
      <c r="B19" s="122" t="s">
        <v>58</v>
      </c>
      <c r="C19" s="200"/>
      <c r="D19" s="196">
        <v>38</v>
      </c>
      <c r="E19" s="196"/>
      <c r="F19" s="96">
        <f t="shared" si="0"/>
        <v>38</v>
      </c>
      <c r="I19" s="80"/>
    </row>
    <row r="20" spans="1:9" x14ac:dyDescent="0.3">
      <c r="A20" s="158">
        <v>17</v>
      </c>
      <c r="B20" s="122" t="s">
        <v>85</v>
      </c>
      <c r="C20" s="200"/>
      <c r="D20" s="196">
        <v>34</v>
      </c>
      <c r="E20" s="196">
        <v>2</v>
      </c>
      <c r="F20" s="96">
        <f t="shared" si="0"/>
        <v>36</v>
      </c>
      <c r="I20" s="80"/>
    </row>
    <row r="21" spans="1:9" x14ac:dyDescent="0.3">
      <c r="A21" s="159">
        <v>18</v>
      </c>
      <c r="B21" s="122" t="s">
        <v>57</v>
      </c>
      <c r="C21" s="200">
        <v>14</v>
      </c>
      <c r="D21" s="196"/>
      <c r="E21" s="196">
        <v>12</v>
      </c>
      <c r="F21" s="96">
        <f t="shared" si="0"/>
        <v>26</v>
      </c>
      <c r="I21" s="80"/>
    </row>
    <row r="22" spans="1:9" x14ac:dyDescent="0.3">
      <c r="A22" s="158">
        <v>19</v>
      </c>
      <c r="B22" s="122" t="s">
        <v>98</v>
      </c>
      <c r="C22" s="200"/>
      <c r="D22" s="196">
        <v>25.5</v>
      </c>
      <c r="E22" s="196"/>
      <c r="F22" s="96">
        <f t="shared" si="0"/>
        <v>25.5</v>
      </c>
      <c r="I22" s="80"/>
    </row>
    <row r="23" spans="1:9" x14ac:dyDescent="0.3">
      <c r="A23" s="159">
        <v>20</v>
      </c>
      <c r="B23" s="122" t="s">
        <v>84</v>
      </c>
      <c r="C23" s="200"/>
      <c r="D23" s="196">
        <v>24</v>
      </c>
      <c r="E23" s="196"/>
      <c r="F23" s="96">
        <f t="shared" si="0"/>
        <v>24</v>
      </c>
      <c r="I23" s="80"/>
    </row>
    <row r="24" spans="1:9" x14ac:dyDescent="0.3">
      <c r="A24" s="158">
        <v>21</v>
      </c>
      <c r="B24" s="122" t="s">
        <v>81</v>
      </c>
      <c r="C24" s="200">
        <v>23</v>
      </c>
      <c r="D24" s="196"/>
      <c r="E24" s="196"/>
      <c r="F24" s="96">
        <f t="shared" si="0"/>
        <v>23</v>
      </c>
      <c r="I24" s="80"/>
    </row>
    <row r="25" spans="1:9" x14ac:dyDescent="0.3">
      <c r="A25" s="159">
        <v>22</v>
      </c>
      <c r="B25" s="122" t="s">
        <v>83</v>
      </c>
      <c r="C25" s="200"/>
      <c r="D25" s="196">
        <v>20</v>
      </c>
      <c r="E25" s="196"/>
      <c r="F25" s="96">
        <f t="shared" si="0"/>
        <v>20</v>
      </c>
      <c r="I25" s="80"/>
    </row>
    <row r="26" spans="1:9" x14ac:dyDescent="0.3">
      <c r="A26" s="158">
        <v>23</v>
      </c>
      <c r="B26" s="122" t="s">
        <v>390</v>
      </c>
      <c r="C26" s="200"/>
      <c r="D26" s="196">
        <v>11.5</v>
      </c>
      <c r="E26" s="196"/>
      <c r="F26" s="96">
        <f t="shared" si="0"/>
        <v>11.5</v>
      </c>
      <c r="I26" s="80"/>
    </row>
    <row r="27" spans="1:9" x14ac:dyDescent="0.3">
      <c r="A27" s="159">
        <v>24</v>
      </c>
      <c r="B27" s="122" t="s">
        <v>389</v>
      </c>
      <c r="C27" s="200">
        <v>10</v>
      </c>
      <c r="D27" s="196"/>
      <c r="E27" s="196"/>
      <c r="F27" s="96">
        <f t="shared" si="0"/>
        <v>10</v>
      </c>
      <c r="I27" s="80"/>
    </row>
    <row r="28" spans="1:9" x14ac:dyDescent="0.3">
      <c r="A28" s="158">
        <v>25</v>
      </c>
      <c r="B28" s="122" t="s">
        <v>398</v>
      </c>
      <c r="C28" s="200"/>
      <c r="D28" s="196">
        <v>6</v>
      </c>
      <c r="E28" s="196"/>
      <c r="F28" s="96">
        <f t="shared" si="0"/>
        <v>6</v>
      </c>
      <c r="I28" s="80"/>
    </row>
    <row r="29" spans="1:9" ht="15" thickBot="1" x14ac:dyDescent="0.35">
      <c r="A29" s="163">
        <v>26</v>
      </c>
      <c r="B29" s="189" t="s">
        <v>400</v>
      </c>
      <c r="C29" s="164"/>
      <c r="D29" s="77"/>
      <c r="E29" s="198">
        <v>5</v>
      </c>
      <c r="F29" s="97">
        <f t="shared" si="0"/>
        <v>5</v>
      </c>
      <c r="I29" s="80"/>
    </row>
    <row r="30" spans="1:9" x14ac:dyDescent="0.3">
      <c r="I30" s="80"/>
    </row>
    <row r="31" spans="1:9" x14ac:dyDescent="0.3">
      <c r="I31" s="80"/>
    </row>
    <row r="32" spans="1:9" x14ac:dyDescent="0.3">
      <c r="I32" s="80"/>
    </row>
    <row r="33" spans="9:9" x14ac:dyDescent="0.3">
      <c r="I33" s="80"/>
    </row>
    <row r="34" spans="9:9" x14ac:dyDescent="0.3">
      <c r="I34" s="80"/>
    </row>
    <row r="35" spans="9:9" x14ac:dyDescent="0.3">
      <c r="I35" s="80"/>
    </row>
  </sheetData>
  <sortState ref="B4:F29">
    <sortCondition descending="1" ref="F4:F29"/>
  </sortState>
  <mergeCells count="9">
    <mergeCell ref="I8:O8"/>
    <mergeCell ref="P8:Q8"/>
    <mergeCell ref="A1:F2"/>
    <mergeCell ref="I5:O5"/>
    <mergeCell ref="I6:O6"/>
    <mergeCell ref="P6:Q6"/>
    <mergeCell ref="I7:O7"/>
    <mergeCell ref="P7:Q7"/>
    <mergeCell ref="P5:Q5"/>
  </mergeCells>
  <conditionalFormatting sqref="B3:E3">
    <cfRule type="duplicateValues" dxfId="0" priority="5"/>
  </conditionalFormatting>
  <pageMargins left="0.7" right="0.7" top="0.75" bottom="0.75" header="0.3" footer="0.3"/>
  <pageSetup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workbookViewId="0">
      <selection activeCell="H13" sqref="H13"/>
    </sheetView>
  </sheetViews>
  <sheetFormatPr defaultRowHeight="14.4" x14ac:dyDescent="0.3"/>
  <cols>
    <col min="2" max="2" width="23.6640625" customWidth="1"/>
  </cols>
  <sheetData>
    <row r="1" spans="1:21" x14ac:dyDescent="0.3">
      <c r="A1" s="348" t="s">
        <v>402</v>
      </c>
      <c r="B1" s="349"/>
      <c r="C1" s="349"/>
      <c r="D1" s="349"/>
      <c r="E1" s="349"/>
      <c r="F1" s="349"/>
      <c r="G1" s="349"/>
      <c r="H1" s="349"/>
      <c r="I1" s="350"/>
    </row>
    <row r="2" spans="1:21" x14ac:dyDescent="0.3">
      <c r="A2" s="351"/>
      <c r="B2" s="352"/>
      <c r="C2" s="352"/>
      <c r="D2" s="352"/>
      <c r="E2" s="352"/>
      <c r="F2" s="352"/>
      <c r="G2" s="352"/>
      <c r="H2" s="352"/>
      <c r="I2" s="353"/>
    </row>
    <row r="3" spans="1:21" ht="15" thickBot="1" x14ac:dyDescent="0.35">
      <c r="A3" s="351"/>
      <c r="B3" s="352"/>
      <c r="C3" s="352"/>
      <c r="D3" s="352"/>
      <c r="E3" s="352"/>
      <c r="F3" s="352"/>
      <c r="G3" s="352"/>
      <c r="H3" s="352"/>
      <c r="I3" s="353"/>
    </row>
    <row r="4" spans="1:21" ht="15" thickBot="1" x14ac:dyDescent="0.35">
      <c r="A4" s="202" t="s">
        <v>48</v>
      </c>
      <c r="B4" s="61" t="s">
        <v>49</v>
      </c>
      <c r="C4" s="206">
        <v>1</v>
      </c>
      <c r="D4" s="210">
        <v>1</v>
      </c>
      <c r="E4" s="205">
        <v>2</v>
      </c>
      <c r="F4" s="205">
        <v>3</v>
      </c>
      <c r="G4" s="205">
        <v>4</v>
      </c>
      <c r="H4" s="211">
        <v>5</v>
      </c>
      <c r="I4" s="92" t="s">
        <v>50</v>
      </c>
    </row>
    <row r="5" spans="1:21" ht="15" thickBot="1" x14ac:dyDescent="0.35">
      <c r="A5" s="158">
        <v>1</v>
      </c>
      <c r="B5" s="187" t="s">
        <v>91</v>
      </c>
      <c r="C5" s="207">
        <v>66.5</v>
      </c>
      <c r="D5" s="212">
        <v>143.5</v>
      </c>
      <c r="E5" s="86">
        <v>32</v>
      </c>
      <c r="F5" s="86">
        <v>126</v>
      </c>
      <c r="G5" s="86">
        <v>80.5</v>
      </c>
      <c r="H5" s="213">
        <v>129.5</v>
      </c>
      <c r="I5" s="84">
        <f>SUM(C5:H5)</f>
        <v>578</v>
      </c>
      <c r="L5" s="56" t="s">
        <v>45</v>
      </c>
      <c r="M5" s="297" t="s">
        <v>46</v>
      </c>
      <c r="N5" s="297"/>
      <c r="O5" s="297"/>
      <c r="P5" s="297"/>
      <c r="Q5" s="297"/>
      <c r="R5" s="297"/>
      <c r="S5" s="297"/>
      <c r="T5" s="330" t="s">
        <v>47</v>
      </c>
      <c r="U5" s="347"/>
    </row>
    <row r="6" spans="1:21" ht="15" thickBot="1" x14ac:dyDescent="0.35">
      <c r="A6" s="159">
        <v>2</v>
      </c>
      <c r="B6" s="122" t="s">
        <v>98</v>
      </c>
      <c r="C6" s="208">
        <v>87.5</v>
      </c>
      <c r="D6" s="166"/>
      <c r="E6" s="75"/>
      <c r="F6" s="75"/>
      <c r="G6" s="75"/>
      <c r="H6" s="167"/>
      <c r="I6" s="84">
        <f t="shared" ref="I6:I9" si="0">SUM(C6:H6)</f>
        <v>87.5</v>
      </c>
      <c r="L6" s="68">
        <v>1</v>
      </c>
      <c r="M6" s="281" t="s">
        <v>201</v>
      </c>
      <c r="N6" s="282"/>
      <c r="O6" s="282"/>
      <c r="P6" s="282"/>
      <c r="Q6" s="282"/>
      <c r="R6" s="282"/>
      <c r="S6" s="283"/>
      <c r="T6" s="345" t="s">
        <v>202</v>
      </c>
      <c r="U6" s="346"/>
    </row>
    <row r="7" spans="1:21" ht="15" thickBot="1" x14ac:dyDescent="0.35">
      <c r="A7" s="159">
        <v>3</v>
      </c>
      <c r="B7" s="122" t="s">
        <v>190</v>
      </c>
      <c r="C7" s="208">
        <v>63</v>
      </c>
      <c r="D7" s="166"/>
      <c r="E7" s="75"/>
      <c r="F7" s="75"/>
      <c r="G7" s="75"/>
      <c r="H7" s="167"/>
      <c r="I7" s="84">
        <f t="shared" si="0"/>
        <v>63</v>
      </c>
      <c r="L7" s="203" t="s">
        <v>45</v>
      </c>
      <c r="M7" s="354" t="s">
        <v>99</v>
      </c>
      <c r="N7" s="354"/>
      <c r="O7" s="354"/>
      <c r="P7" s="354"/>
      <c r="Q7" s="354"/>
      <c r="R7" s="354"/>
      <c r="S7" s="354"/>
      <c r="T7" s="355" t="s">
        <v>47</v>
      </c>
      <c r="U7" s="356"/>
    </row>
    <row r="8" spans="1:21" x14ac:dyDescent="0.3">
      <c r="A8" s="159">
        <v>4</v>
      </c>
      <c r="B8" s="122" t="s">
        <v>220</v>
      </c>
      <c r="C8" s="208">
        <v>35</v>
      </c>
      <c r="D8" s="166"/>
      <c r="E8" s="75"/>
      <c r="F8" s="75"/>
      <c r="G8" s="75"/>
      <c r="H8" s="167"/>
      <c r="I8" s="84">
        <f t="shared" si="0"/>
        <v>35</v>
      </c>
      <c r="L8" s="209">
        <v>1</v>
      </c>
      <c r="M8" s="335" t="s">
        <v>380</v>
      </c>
      <c r="N8" s="335"/>
      <c r="O8" s="335"/>
      <c r="P8" s="335"/>
      <c r="Q8" s="335"/>
      <c r="R8" s="335"/>
      <c r="S8" s="335"/>
      <c r="T8" s="335" t="s">
        <v>256</v>
      </c>
      <c r="U8" s="336"/>
    </row>
    <row r="9" spans="1:21" x14ac:dyDescent="0.3">
      <c r="A9" s="159">
        <v>5</v>
      </c>
      <c r="B9" s="122" t="s">
        <v>86</v>
      </c>
      <c r="C9" s="208">
        <v>24.5</v>
      </c>
      <c r="D9" s="166"/>
      <c r="E9" s="75"/>
      <c r="F9" s="75"/>
      <c r="G9" s="75"/>
      <c r="H9" s="167"/>
      <c r="I9" s="84">
        <f t="shared" si="0"/>
        <v>24.5</v>
      </c>
      <c r="L9" s="174">
        <v>2</v>
      </c>
      <c r="M9" s="335" t="s">
        <v>381</v>
      </c>
      <c r="N9" s="335"/>
      <c r="O9" s="335"/>
      <c r="P9" s="335"/>
      <c r="Q9" s="335"/>
      <c r="R9" s="335"/>
      <c r="S9" s="335"/>
      <c r="T9" s="335" t="s">
        <v>382</v>
      </c>
      <c r="U9" s="336"/>
    </row>
    <row r="10" spans="1:21" ht="15" thickBot="1" x14ac:dyDescent="0.35">
      <c r="A10" s="163">
        <v>6</v>
      </c>
      <c r="B10" s="123" t="s">
        <v>87</v>
      </c>
      <c r="C10" s="128">
        <v>17.5</v>
      </c>
      <c r="D10" s="168"/>
      <c r="E10" s="112"/>
      <c r="F10" s="112"/>
      <c r="G10" s="112"/>
      <c r="H10" s="169"/>
      <c r="I10" s="90">
        <f>SUM(C10:F10)</f>
        <v>17.5</v>
      </c>
      <c r="L10" s="204">
        <v>3</v>
      </c>
      <c r="M10" s="335" t="s">
        <v>383</v>
      </c>
      <c r="N10" s="335"/>
      <c r="O10" s="335"/>
      <c r="P10" s="335"/>
      <c r="Q10" s="335"/>
      <c r="R10" s="335"/>
      <c r="S10" s="335"/>
      <c r="T10" s="335" t="s">
        <v>384</v>
      </c>
      <c r="U10" s="336"/>
    </row>
    <row r="11" spans="1:21" x14ac:dyDescent="0.3">
      <c r="A11" s="55"/>
      <c r="L11" s="174">
        <v>4</v>
      </c>
      <c r="M11" s="335" t="s">
        <v>385</v>
      </c>
      <c r="N11" s="335"/>
      <c r="O11" s="335"/>
      <c r="P11" s="335"/>
      <c r="Q11" s="335"/>
      <c r="R11" s="335"/>
      <c r="S11" s="335"/>
      <c r="T11" s="335" t="s">
        <v>386</v>
      </c>
      <c r="U11" s="336"/>
    </row>
    <row r="12" spans="1:21" ht="15" thickBot="1" x14ac:dyDescent="0.35">
      <c r="A12" s="55"/>
      <c r="L12" s="214">
        <v>5</v>
      </c>
      <c r="M12" s="337" t="s">
        <v>387</v>
      </c>
      <c r="N12" s="337"/>
      <c r="O12" s="337"/>
      <c r="P12" s="337"/>
      <c r="Q12" s="337"/>
      <c r="R12" s="337"/>
      <c r="S12" s="337"/>
      <c r="T12" s="337" t="s">
        <v>388</v>
      </c>
      <c r="U12" s="338"/>
    </row>
  </sheetData>
  <sortState ref="B5:I10">
    <sortCondition descending="1" ref="I5:I10"/>
  </sortState>
  <mergeCells count="17">
    <mergeCell ref="M12:S12"/>
    <mergeCell ref="M11:S11"/>
    <mergeCell ref="T5:U5"/>
    <mergeCell ref="M8:S8"/>
    <mergeCell ref="M5:S5"/>
    <mergeCell ref="T6:U6"/>
    <mergeCell ref="T7:U7"/>
    <mergeCell ref="T8:U8"/>
    <mergeCell ref="T9:U9"/>
    <mergeCell ref="T10:U10"/>
    <mergeCell ref="T11:U11"/>
    <mergeCell ref="T12:U12"/>
    <mergeCell ref="A1:I3"/>
    <mergeCell ref="M6:S6"/>
    <mergeCell ref="M7:S7"/>
    <mergeCell ref="M9:S9"/>
    <mergeCell ref="M10:S10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zoomScale="90" zoomScaleNormal="90" workbookViewId="0">
      <selection activeCell="J19" sqref="J19"/>
    </sheetView>
  </sheetViews>
  <sheetFormatPr defaultRowHeight="14.4" x14ac:dyDescent="0.3"/>
  <cols>
    <col min="2" max="2" width="25.6640625" customWidth="1"/>
    <col min="3" max="4" width="10.6640625" customWidth="1"/>
    <col min="5" max="5" width="11.6640625" customWidth="1"/>
  </cols>
  <sheetData>
    <row r="1" spans="1:15" x14ac:dyDescent="0.3">
      <c r="A1" s="290" t="s">
        <v>316</v>
      </c>
      <c r="B1" s="291"/>
      <c r="C1" s="291"/>
      <c r="D1" s="291"/>
      <c r="E1" s="292"/>
    </row>
    <row r="2" spans="1:15" ht="15" thickBot="1" x14ac:dyDescent="0.35">
      <c r="A2" s="293"/>
      <c r="B2" s="294"/>
      <c r="C2" s="294"/>
      <c r="D2" s="294"/>
      <c r="E2" s="296"/>
    </row>
    <row r="3" spans="1:15" ht="15" thickBot="1" x14ac:dyDescent="0.35">
      <c r="A3" s="191" t="s">
        <v>48</v>
      </c>
      <c r="B3" s="235" t="s">
        <v>49</v>
      </c>
      <c r="C3" s="182">
        <v>1</v>
      </c>
      <c r="D3" s="224">
        <v>2</v>
      </c>
      <c r="E3" s="229" t="s">
        <v>50</v>
      </c>
    </row>
    <row r="4" spans="1:15" ht="15" thickBot="1" x14ac:dyDescent="0.35">
      <c r="A4" s="130">
        <v>1</v>
      </c>
      <c r="B4" s="236" t="s">
        <v>63</v>
      </c>
      <c r="C4" s="233">
        <v>26</v>
      </c>
      <c r="D4" s="225">
        <v>90</v>
      </c>
      <c r="E4" s="230">
        <f t="shared" ref="E4:E31" si="0">SUM(C4:D4)</f>
        <v>116</v>
      </c>
    </row>
    <row r="5" spans="1:15" ht="15" thickBot="1" x14ac:dyDescent="0.35">
      <c r="A5" s="116">
        <v>2</v>
      </c>
      <c r="B5" s="237" t="s">
        <v>64</v>
      </c>
      <c r="C5" s="234">
        <v>29</v>
      </c>
      <c r="D5" s="155">
        <v>84</v>
      </c>
      <c r="E5" s="230">
        <f t="shared" si="0"/>
        <v>113</v>
      </c>
      <c r="G5" s="220" t="s">
        <v>45</v>
      </c>
      <c r="H5" s="297" t="s">
        <v>46</v>
      </c>
      <c r="I5" s="297"/>
      <c r="J5" s="297"/>
      <c r="K5" s="297"/>
      <c r="L5" s="297"/>
      <c r="M5" s="297"/>
      <c r="N5" s="297" t="s">
        <v>47</v>
      </c>
      <c r="O5" s="298"/>
    </row>
    <row r="6" spans="1:15" x14ac:dyDescent="0.3">
      <c r="A6" s="130">
        <v>3</v>
      </c>
      <c r="B6" s="238" t="s">
        <v>72</v>
      </c>
      <c r="C6" s="153"/>
      <c r="D6" s="154">
        <v>82</v>
      </c>
      <c r="E6" s="230">
        <f t="shared" si="0"/>
        <v>82</v>
      </c>
      <c r="G6" s="219">
        <v>1</v>
      </c>
      <c r="H6" s="345" t="s">
        <v>194</v>
      </c>
      <c r="I6" s="328"/>
      <c r="J6" s="328"/>
      <c r="K6" s="328"/>
      <c r="L6" s="328"/>
      <c r="M6" s="357"/>
      <c r="N6" s="358" t="s">
        <v>195</v>
      </c>
      <c r="O6" s="359"/>
    </row>
    <row r="7" spans="1:15" ht="15" thickBot="1" x14ac:dyDescent="0.35">
      <c r="A7" s="116">
        <v>4</v>
      </c>
      <c r="B7" s="238" t="s">
        <v>306</v>
      </c>
      <c r="C7" s="153"/>
      <c r="D7" s="154">
        <v>78</v>
      </c>
      <c r="E7" s="230">
        <f t="shared" si="0"/>
        <v>78</v>
      </c>
      <c r="G7" s="115">
        <v>2</v>
      </c>
      <c r="H7" s="266" t="s">
        <v>201</v>
      </c>
      <c r="I7" s="266"/>
      <c r="J7" s="266"/>
      <c r="K7" s="266"/>
      <c r="L7" s="266"/>
      <c r="M7" s="266"/>
      <c r="N7" s="266" t="s">
        <v>202</v>
      </c>
      <c r="O7" s="267"/>
    </row>
    <row r="8" spans="1:15" x14ac:dyDescent="0.3">
      <c r="A8" s="130">
        <v>5</v>
      </c>
      <c r="B8" s="238" t="s">
        <v>300</v>
      </c>
      <c r="C8" s="153">
        <v>11</v>
      </c>
      <c r="D8" s="154">
        <v>66</v>
      </c>
      <c r="E8" s="230">
        <f t="shared" si="0"/>
        <v>77</v>
      </c>
    </row>
    <row r="9" spans="1:15" ht="14.4" customHeight="1" x14ac:dyDescent="0.3">
      <c r="A9" s="116">
        <v>6</v>
      </c>
      <c r="B9" s="238" t="s">
        <v>305</v>
      </c>
      <c r="C9" s="153"/>
      <c r="D9" s="154">
        <v>70</v>
      </c>
      <c r="E9" s="230">
        <f t="shared" si="0"/>
        <v>70</v>
      </c>
    </row>
    <row r="10" spans="1:15" x14ac:dyDescent="0.3">
      <c r="A10" s="130">
        <v>7</v>
      </c>
      <c r="B10" s="238" t="s">
        <v>298</v>
      </c>
      <c r="C10" s="153">
        <v>34</v>
      </c>
      <c r="D10" s="154">
        <v>26</v>
      </c>
      <c r="E10" s="230">
        <f t="shared" si="0"/>
        <v>60</v>
      </c>
    </row>
    <row r="11" spans="1:15" x14ac:dyDescent="0.3">
      <c r="A11" s="116">
        <v>8</v>
      </c>
      <c r="B11" s="238" t="s">
        <v>312</v>
      </c>
      <c r="C11" s="153"/>
      <c r="D11" s="154">
        <v>56</v>
      </c>
      <c r="E11" s="230">
        <f t="shared" si="0"/>
        <v>56</v>
      </c>
    </row>
    <row r="12" spans="1:15" x14ac:dyDescent="0.3">
      <c r="A12" s="130">
        <v>9</v>
      </c>
      <c r="B12" s="237" t="s">
        <v>67</v>
      </c>
      <c r="C12" s="234">
        <v>6</v>
      </c>
      <c r="D12" s="155">
        <v>48</v>
      </c>
      <c r="E12" s="230">
        <f t="shared" si="0"/>
        <v>54</v>
      </c>
    </row>
    <row r="13" spans="1:15" x14ac:dyDescent="0.3">
      <c r="A13" s="116">
        <v>10</v>
      </c>
      <c r="B13" s="238" t="s">
        <v>314</v>
      </c>
      <c r="C13" s="153"/>
      <c r="D13" s="154">
        <v>52</v>
      </c>
      <c r="E13" s="230">
        <f t="shared" si="0"/>
        <v>52</v>
      </c>
    </row>
    <row r="14" spans="1:15" x14ac:dyDescent="0.3">
      <c r="A14" s="130">
        <v>11</v>
      </c>
      <c r="B14" s="239" t="s">
        <v>307</v>
      </c>
      <c r="C14" s="153"/>
      <c r="D14" s="154">
        <v>50</v>
      </c>
      <c r="E14" s="230">
        <f t="shared" si="0"/>
        <v>50</v>
      </c>
    </row>
    <row r="15" spans="1:15" x14ac:dyDescent="0.3">
      <c r="A15" s="116">
        <v>12</v>
      </c>
      <c r="B15" s="237" t="s">
        <v>69</v>
      </c>
      <c r="C15" s="234">
        <v>21</v>
      </c>
      <c r="D15" s="155">
        <v>20</v>
      </c>
      <c r="E15" s="230">
        <f t="shared" si="0"/>
        <v>41</v>
      </c>
    </row>
    <row r="16" spans="1:15" x14ac:dyDescent="0.3">
      <c r="A16" s="130">
        <v>13</v>
      </c>
      <c r="B16" s="239" t="s">
        <v>311</v>
      </c>
      <c r="C16" s="153"/>
      <c r="D16" s="154">
        <v>32</v>
      </c>
      <c r="E16" s="230">
        <f t="shared" si="0"/>
        <v>32</v>
      </c>
    </row>
    <row r="17" spans="1:5" x14ac:dyDescent="0.3">
      <c r="A17" s="116">
        <v>14</v>
      </c>
      <c r="B17" s="239" t="s">
        <v>308</v>
      </c>
      <c r="C17" s="153"/>
      <c r="D17" s="154">
        <v>30</v>
      </c>
      <c r="E17" s="230">
        <f t="shared" si="0"/>
        <v>30</v>
      </c>
    </row>
    <row r="18" spans="1:5" x14ac:dyDescent="0.3">
      <c r="A18" s="130">
        <v>15</v>
      </c>
      <c r="B18" s="238" t="s">
        <v>297</v>
      </c>
      <c r="C18" s="153">
        <v>20</v>
      </c>
      <c r="D18" s="154">
        <v>8</v>
      </c>
      <c r="E18" s="230">
        <f t="shared" si="0"/>
        <v>28</v>
      </c>
    </row>
    <row r="19" spans="1:5" x14ac:dyDescent="0.3">
      <c r="A19" s="116">
        <v>16</v>
      </c>
      <c r="B19" s="239" t="s">
        <v>309</v>
      </c>
      <c r="C19" s="153"/>
      <c r="D19" s="154">
        <v>26</v>
      </c>
      <c r="E19" s="230">
        <f t="shared" si="0"/>
        <v>26</v>
      </c>
    </row>
    <row r="20" spans="1:5" x14ac:dyDescent="0.3">
      <c r="A20" s="130">
        <v>17</v>
      </c>
      <c r="B20" s="238" t="s">
        <v>313</v>
      </c>
      <c r="C20" s="153"/>
      <c r="D20" s="154">
        <v>22</v>
      </c>
      <c r="E20" s="230">
        <f t="shared" si="0"/>
        <v>22</v>
      </c>
    </row>
    <row r="21" spans="1:5" x14ac:dyDescent="0.3">
      <c r="A21" s="116">
        <v>18</v>
      </c>
      <c r="B21" s="237" t="s">
        <v>65</v>
      </c>
      <c r="C21" s="234">
        <v>20</v>
      </c>
      <c r="D21" s="155"/>
      <c r="E21" s="230">
        <f t="shared" si="0"/>
        <v>20</v>
      </c>
    </row>
    <row r="22" spans="1:5" x14ac:dyDescent="0.3">
      <c r="A22" s="130">
        <v>19</v>
      </c>
      <c r="B22" s="238" t="s">
        <v>303</v>
      </c>
      <c r="C22" s="153">
        <v>19</v>
      </c>
      <c r="D22" s="154"/>
      <c r="E22" s="230">
        <f t="shared" si="0"/>
        <v>19</v>
      </c>
    </row>
    <row r="23" spans="1:5" x14ac:dyDescent="0.3">
      <c r="A23" s="116">
        <v>20</v>
      </c>
      <c r="B23" s="237" t="s">
        <v>66</v>
      </c>
      <c r="C23" s="234">
        <v>16</v>
      </c>
      <c r="D23" s="155"/>
      <c r="E23" s="230">
        <f t="shared" si="0"/>
        <v>16</v>
      </c>
    </row>
    <row r="24" spans="1:5" x14ac:dyDescent="0.3">
      <c r="A24" s="130">
        <v>21</v>
      </c>
      <c r="B24" s="238" t="s">
        <v>299</v>
      </c>
      <c r="C24" s="153">
        <v>14</v>
      </c>
      <c r="D24" s="154"/>
      <c r="E24" s="230">
        <f t="shared" si="0"/>
        <v>14</v>
      </c>
    </row>
    <row r="25" spans="1:5" x14ac:dyDescent="0.3">
      <c r="A25" s="116">
        <v>22</v>
      </c>
      <c r="B25" s="238" t="s">
        <v>302</v>
      </c>
      <c r="C25" s="153">
        <v>14</v>
      </c>
      <c r="D25" s="154"/>
      <c r="E25" s="230">
        <f t="shared" si="0"/>
        <v>14</v>
      </c>
    </row>
    <row r="26" spans="1:5" x14ac:dyDescent="0.3">
      <c r="A26" s="130">
        <v>23</v>
      </c>
      <c r="B26" s="238" t="s">
        <v>301</v>
      </c>
      <c r="C26" s="153">
        <v>8</v>
      </c>
      <c r="D26" s="154">
        <v>4</v>
      </c>
      <c r="E26" s="230">
        <f t="shared" si="0"/>
        <v>12</v>
      </c>
    </row>
    <row r="27" spans="1:5" x14ac:dyDescent="0.3">
      <c r="A27" s="116">
        <v>24</v>
      </c>
      <c r="B27" s="238" t="s">
        <v>70</v>
      </c>
      <c r="C27" s="153">
        <v>12</v>
      </c>
      <c r="D27" s="154"/>
      <c r="E27" s="230">
        <f t="shared" si="0"/>
        <v>12</v>
      </c>
    </row>
    <row r="28" spans="1:5" x14ac:dyDescent="0.3">
      <c r="A28" s="130">
        <v>25</v>
      </c>
      <c r="B28" s="238" t="s">
        <v>310</v>
      </c>
      <c r="C28" s="153"/>
      <c r="D28" s="154">
        <v>10</v>
      </c>
      <c r="E28" s="230">
        <f t="shared" si="0"/>
        <v>10</v>
      </c>
    </row>
    <row r="29" spans="1:5" x14ac:dyDescent="0.3">
      <c r="A29" s="116">
        <v>26</v>
      </c>
      <c r="B29" s="238" t="s">
        <v>77</v>
      </c>
      <c r="C29" s="153">
        <v>10</v>
      </c>
      <c r="D29" s="154"/>
      <c r="E29" s="231">
        <f t="shared" si="0"/>
        <v>10</v>
      </c>
    </row>
    <row r="30" spans="1:5" x14ac:dyDescent="0.3">
      <c r="A30" s="116">
        <v>27</v>
      </c>
      <c r="B30" s="238" t="s">
        <v>304</v>
      </c>
      <c r="C30" s="153">
        <v>9</v>
      </c>
      <c r="D30" s="154"/>
      <c r="E30" s="231">
        <f t="shared" si="0"/>
        <v>9</v>
      </c>
    </row>
    <row r="31" spans="1:5" ht="15" thickBot="1" x14ac:dyDescent="0.35">
      <c r="A31" s="117">
        <v>28</v>
      </c>
      <c r="B31" s="240" t="s">
        <v>315</v>
      </c>
      <c r="C31" s="228"/>
      <c r="D31" s="156">
        <v>4</v>
      </c>
      <c r="E31" s="232">
        <f t="shared" si="0"/>
        <v>4</v>
      </c>
    </row>
  </sheetData>
  <sortState ref="B4:E37">
    <sortCondition descending="1" ref="E4:E37"/>
  </sortState>
  <mergeCells count="7">
    <mergeCell ref="H7:M7"/>
    <mergeCell ref="N7:O7"/>
    <mergeCell ref="A1:E2"/>
    <mergeCell ref="H5:M5"/>
    <mergeCell ref="N5:O5"/>
    <mergeCell ref="H6:M6"/>
    <mergeCell ref="N6:O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selection activeCell="H10" sqref="H10"/>
    </sheetView>
  </sheetViews>
  <sheetFormatPr defaultRowHeight="14.4" x14ac:dyDescent="0.3"/>
  <cols>
    <col min="2" max="2" width="26" customWidth="1"/>
    <col min="3" max="3" width="9.5546875" customWidth="1"/>
    <col min="4" max="4" width="9.109375" customWidth="1"/>
  </cols>
  <sheetData>
    <row r="1" spans="1:14" x14ac:dyDescent="0.3">
      <c r="A1" s="290" t="s">
        <v>331</v>
      </c>
      <c r="B1" s="291"/>
      <c r="C1" s="291"/>
      <c r="D1" s="291"/>
      <c r="E1" s="292"/>
    </row>
    <row r="2" spans="1:14" ht="15" thickBot="1" x14ac:dyDescent="0.35">
      <c r="A2" s="293"/>
      <c r="B2" s="294"/>
      <c r="C2" s="295"/>
      <c r="D2" s="295"/>
      <c r="E2" s="296"/>
    </row>
    <row r="3" spans="1:14" ht="15" thickBot="1" x14ac:dyDescent="0.35">
      <c r="A3" s="194" t="s">
        <v>48</v>
      </c>
      <c r="B3" s="367" t="s">
        <v>49</v>
      </c>
      <c r="C3" s="369">
        <v>1</v>
      </c>
      <c r="D3" s="370">
        <v>2</v>
      </c>
      <c r="E3" s="368" t="s">
        <v>50</v>
      </c>
    </row>
    <row r="4" spans="1:14" ht="15" thickBot="1" x14ac:dyDescent="0.35">
      <c r="A4" s="158">
        <v>1</v>
      </c>
      <c r="B4" s="185" t="s">
        <v>74</v>
      </c>
      <c r="C4" s="137">
        <v>36</v>
      </c>
      <c r="D4" s="67">
        <v>114</v>
      </c>
      <c r="E4" s="93">
        <f>SUM(C4:D4)</f>
        <v>150</v>
      </c>
      <c r="G4" s="56" t="s">
        <v>45</v>
      </c>
      <c r="H4" s="297" t="s">
        <v>46</v>
      </c>
      <c r="I4" s="297"/>
      <c r="J4" s="297"/>
      <c r="K4" s="297"/>
      <c r="L4" s="297"/>
      <c r="M4" s="297" t="s">
        <v>47</v>
      </c>
      <c r="N4" s="298"/>
    </row>
    <row r="5" spans="1:14" x14ac:dyDescent="0.3">
      <c r="A5" s="159">
        <v>2</v>
      </c>
      <c r="B5" s="122" t="s">
        <v>68</v>
      </c>
      <c r="C5" s="120">
        <v>36</v>
      </c>
      <c r="D5" s="62">
        <v>82</v>
      </c>
      <c r="E5" s="93">
        <f t="shared" ref="E5:E29" si="0">SUM(C5:D5)</f>
        <v>118</v>
      </c>
      <c r="G5" s="68">
        <v>1</v>
      </c>
      <c r="H5" s="345" t="s">
        <v>194</v>
      </c>
      <c r="I5" s="328"/>
      <c r="J5" s="328"/>
      <c r="K5" s="328"/>
      <c r="L5" s="357"/>
      <c r="M5" s="268" t="s">
        <v>195</v>
      </c>
      <c r="N5" s="271"/>
    </row>
    <row r="6" spans="1:14" ht="15" thickBot="1" x14ac:dyDescent="0.35">
      <c r="A6" s="158">
        <v>3</v>
      </c>
      <c r="B6" s="122" t="s">
        <v>320</v>
      </c>
      <c r="C6" s="120"/>
      <c r="D6" s="62">
        <v>94</v>
      </c>
      <c r="E6" s="93">
        <f t="shared" si="0"/>
        <v>94</v>
      </c>
      <c r="G6" s="115">
        <v>2</v>
      </c>
      <c r="H6" s="341" t="s">
        <v>201</v>
      </c>
      <c r="I6" s="342"/>
      <c r="J6" s="342"/>
      <c r="K6" s="342"/>
      <c r="L6" s="343"/>
      <c r="M6" s="266" t="s">
        <v>202</v>
      </c>
      <c r="N6" s="267"/>
    </row>
    <row r="7" spans="1:14" x14ac:dyDescent="0.3">
      <c r="A7" s="159">
        <v>4</v>
      </c>
      <c r="B7" s="122" t="s">
        <v>321</v>
      </c>
      <c r="C7" s="120"/>
      <c r="D7" s="62">
        <v>76</v>
      </c>
      <c r="E7" s="93">
        <f t="shared" si="0"/>
        <v>76</v>
      </c>
    </row>
    <row r="8" spans="1:14" x14ac:dyDescent="0.3">
      <c r="A8" s="158">
        <v>5</v>
      </c>
      <c r="B8" s="122" t="s">
        <v>329</v>
      </c>
      <c r="C8" s="120"/>
      <c r="D8" s="62">
        <v>62</v>
      </c>
      <c r="E8" s="93">
        <f t="shared" si="0"/>
        <v>62</v>
      </c>
    </row>
    <row r="9" spans="1:14" x14ac:dyDescent="0.3">
      <c r="A9" s="159">
        <v>6</v>
      </c>
      <c r="B9" s="122" t="s">
        <v>319</v>
      </c>
      <c r="C9" s="120">
        <v>24</v>
      </c>
      <c r="D9" s="62">
        <v>38</v>
      </c>
      <c r="E9" s="93">
        <f t="shared" si="0"/>
        <v>62</v>
      </c>
    </row>
    <row r="10" spans="1:14" x14ac:dyDescent="0.3">
      <c r="A10" s="158">
        <v>7</v>
      </c>
      <c r="B10" s="122" t="s">
        <v>324</v>
      </c>
      <c r="C10" s="120"/>
      <c r="D10" s="62">
        <v>60</v>
      </c>
      <c r="E10" s="93">
        <f t="shared" si="0"/>
        <v>60</v>
      </c>
    </row>
    <row r="11" spans="1:14" x14ac:dyDescent="0.3">
      <c r="A11" s="159">
        <v>8</v>
      </c>
      <c r="B11" s="122" t="s">
        <v>330</v>
      </c>
      <c r="C11" s="120"/>
      <c r="D11" s="62">
        <v>58</v>
      </c>
      <c r="E11" s="93">
        <f t="shared" si="0"/>
        <v>58</v>
      </c>
    </row>
    <row r="12" spans="1:14" x14ac:dyDescent="0.3">
      <c r="A12" s="158">
        <v>9</v>
      </c>
      <c r="B12" s="122" t="s">
        <v>322</v>
      </c>
      <c r="C12" s="120" t="s">
        <v>218</v>
      </c>
      <c r="D12" s="62">
        <v>46</v>
      </c>
      <c r="E12" s="93">
        <f t="shared" si="0"/>
        <v>46</v>
      </c>
    </row>
    <row r="13" spans="1:14" x14ac:dyDescent="0.3">
      <c r="A13" s="159">
        <v>10</v>
      </c>
      <c r="B13" s="122" t="s">
        <v>323</v>
      </c>
      <c r="C13" s="120"/>
      <c r="D13" s="62">
        <v>42</v>
      </c>
      <c r="E13" s="93">
        <f t="shared" si="0"/>
        <v>42</v>
      </c>
    </row>
    <row r="14" spans="1:14" x14ac:dyDescent="0.3">
      <c r="A14" s="158">
        <v>11</v>
      </c>
      <c r="B14" s="122" t="s">
        <v>73</v>
      </c>
      <c r="C14" s="120"/>
      <c r="D14" s="62">
        <v>38</v>
      </c>
      <c r="E14" s="93">
        <f t="shared" si="0"/>
        <v>38</v>
      </c>
    </row>
    <row r="15" spans="1:14" x14ac:dyDescent="0.3">
      <c r="A15" s="159">
        <v>12</v>
      </c>
      <c r="B15" s="122" t="s">
        <v>328</v>
      </c>
      <c r="C15" s="120"/>
      <c r="D15" s="62">
        <v>34</v>
      </c>
      <c r="E15" s="93">
        <f t="shared" si="0"/>
        <v>34</v>
      </c>
    </row>
    <row r="16" spans="1:14" x14ac:dyDescent="0.3">
      <c r="A16" s="158">
        <v>13</v>
      </c>
      <c r="B16" s="122" t="s">
        <v>302</v>
      </c>
      <c r="C16" s="120">
        <v>10</v>
      </c>
      <c r="D16" s="62">
        <v>24</v>
      </c>
      <c r="E16" s="93">
        <f t="shared" si="0"/>
        <v>34</v>
      </c>
    </row>
    <row r="17" spans="1:5" x14ac:dyDescent="0.3">
      <c r="A17" s="159">
        <v>14</v>
      </c>
      <c r="B17" s="122" t="s">
        <v>325</v>
      </c>
      <c r="C17" s="120"/>
      <c r="D17" s="62">
        <v>32</v>
      </c>
      <c r="E17" s="93">
        <f t="shared" si="0"/>
        <v>32</v>
      </c>
    </row>
    <row r="18" spans="1:5" x14ac:dyDescent="0.3">
      <c r="A18" s="158">
        <v>15</v>
      </c>
      <c r="B18" s="122" t="s">
        <v>95</v>
      </c>
      <c r="C18" s="120">
        <v>31</v>
      </c>
      <c r="D18" s="62"/>
      <c r="E18" s="93">
        <f t="shared" si="0"/>
        <v>31</v>
      </c>
    </row>
    <row r="19" spans="1:5" x14ac:dyDescent="0.3">
      <c r="A19" s="159">
        <v>16</v>
      </c>
      <c r="B19" s="122" t="s">
        <v>326</v>
      </c>
      <c r="C19" s="120"/>
      <c r="D19" s="62">
        <v>30</v>
      </c>
      <c r="E19" s="93">
        <f t="shared" si="0"/>
        <v>30</v>
      </c>
    </row>
    <row r="20" spans="1:5" x14ac:dyDescent="0.3">
      <c r="A20" s="158">
        <v>17</v>
      </c>
      <c r="B20" s="122" t="s">
        <v>318</v>
      </c>
      <c r="C20" s="120">
        <v>21</v>
      </c>
      <c r="D20" s="62"/>
      <c r="E20" s="93">
        <f t="shared" si="0"/>
        <v>21</v>
      </c>
    </row>
    <row r="21" spans="1:5" x14ac:dyDescent="0.3">
      <c r="A21" s="159">
        <v>18</v>
      </c>
      <c r="B21" s="122" t="s">
        <v>70</v>
      </c>
      <c r="C21" s="120">
        <v>18</v>
      </c>
      <c r="D21" s="62"/>
      <c r="E21" s="93">
        <f t="shared" si="0"/>
        <v>18</v>
      </c>
    </row>
    <row r="22" spans="1:5" x14ac:dyDescent="0.3">
      <c r="A22" s="158">
        <v>19</v>
      </c>
      <c r="B22" s="122" t="s">
        <v>75</v>
      </c>
      <c r="C22" s="120"/>
      <c r="D22" s="62">
        <v>16</v>
      </c>
      <c r="E22" s="93">
        <f t="shared" si="0"/>
        <v>16</v>
      </c>
    </row>
    <row r="23" spans="1:5" x14ac:dyDescent="0.3">
      <c r="A23" s="159">
        <v>20</v>
      </c>
      <c r="B23" s="122" t="s">
        <v>317</v>
      </c>
      <c r="C23" s="120">
        <v>14</v>
      </c>
      <c r="D23" s="62"/>
      <c r="E23" s="93">
        <f t="shared" si="0"/>
        <v>14</v>
      </c>
    </row>
    <row r="24" spans="1:5" x14ac:dyDescent="0.3">
      <c r="A24" s="158">
        <v>21</v>
      </c>
      <c r="B24" s="122" t="s">
        <v>78</v>
      </c>
      <c r="C24" s="120">
        <v>13</v>
      </c>
      <c r="D24" s="62"/>
      <c r="E24" s="93">
        <f t="shared" si="0"/>
        <v>13</v>
      </c>
    </row>
    <row r="25" spans="1:5" x14ac:dyDescent="0.3">
      <c r="A25" s="159">
        <v>22</v>
      </c>
      <c r="B25" s="122" t="s">
        <v>298</v>
      </c>
      <c r="C25" s="120">
        <v>13</v>
      </c>
      <c r="D25" s="62"/>
      <c r="E25" s="93">
        <f t="shared" si="0"/>
        <v>13</v>
      </c>
    </row>
    <row r="26" spans="1:5" x14ac:dyDescent="0.3">
      <c r="A26" s="158">
        <v>23</v>
      </c>
      <c r="B26" s="122" t="s">
        <v>327</v>
      </c>
      <c r="C26" s="120"/>
      <c r="D26" s="62">
        <v>12</v>
      </c>
      <c r="E26" s="93">
        <f t="shared" si="0"/>
        <v>12</v>
      </c>
    </row>
    <row r="27" spans="1:5" x14ac:dyDescent="0.3">
      <c r="A27" s="159">
        <v>24</v>
      </c>
      <c r="B27" s="122" t="s">
        <v>305</v>
      </c>
      <c r="C27" s="120">
        <v>12</v>
      </c>
      <c r="D27" s="62"/>
      <c r="E27" s="93">
        <f t="shared" si="0"/>
        <v>12</v>
      </c>
    </row>
    <row r="28" spans="1:5" x14ac:dyDescent="0.3">
      <c r="A28" s="158">
        <v>25</v>
      </c>
      <c r="B28" s="122" t="s">
        <v>77</v>
      </c>
      <c r="C28" s="120">
        <v>8</v>
      </c>
      <c r="D28" s="62"/>
      <c r="E28" s="93">
        <f t="shared" si="0"/>
        <v>8</v>
      </c>
    </row>
    <row r="29" spans="1:5" x14ac:dyDescent="0.3">
      <c r="A29" s="159">
        <v>26</v>
      </c>
      <c r="B29" s="122" t="s">
        <v>303</v>
      </c>
      <c r="C29" s="120">
        <v>8</v>
      </c>
      <c r="D29" s="62"/>
      <c r="E29" s="93">
        <f t="shared" si="0"/>
        <v>8</v>
      </c>
    </row>
    <row r="30" spans="1:5" ht="15" thickBot="1" x14ac:dyDescent="0.35">
      <c r="A30" s="171">
        <v>27</v>
      </c>
      <c r="B30" s="123" t="s">
        <v>94</v>
      </c>
      <c r="C30" s="124">
        <v>7</v>
      </c>
      <c r="D30" s="78"/>
      <c r="E30" s="94">
        <f>SUM(C30:D30)</f>
        <v>7</v>
      </c>
    </row>
  </sheetData>
  <sortState ref="B4:H30">
    <sortCondition descending="1" ref="E4:E30"/>
  </sortState>
  <mergeCells count="7">
    <mergeCell ref="H6:L6"/>
    <mergeCell ref="M6:N6"/>
    <mergeCell ref="A1:E2"/>
    <mergeCell ref="H4:L4"/>
    <mergeCell ref="M4:N4"/>
    <mergeCell ref="H5:L5"/>
    <mergeCell ref="M5:N5"/>
  </mergeCells>
  <pageMargins left="0.7" right="0.7" top="0.75" bottom="0.75" header="0.3" footer="0.3"/>
  <pageSetup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selection activeCell="F29" sqref="F29"/>
    </sheetView>
  </sheetViews>
  <sheetFormatPr defaultRowHeight="14.4" x14ac:dyDescent="0.3"/>
  <cols>
    <col min="2" max="2" width="20.33203125" customWidth="1"/>
    <col min="3" max="3" width="9.88671875" customWidth="1"/>
  </cols>
  <sheetData>
    <row r="1" spans="1:14" x14ac:dyDescent="0.3">
      <c r="A1" s="290" t="s">
        <v>333</v>
      </c>
      <c r="B1" s="291"/>
      <c r="C1" s="291"/>
      <c r="D1" s="291"/>
      <c r="E1" s="292"/>
    </row>
    <row r="2" spans="1:14" ht="15" thickBot="1" x14ac:dyDescent="0.35">
      <c r="A2" s="360"/>
      <c r="B2" s="295"/>
      <c r="C2" s="295"/>
      <c r="D2" s="295"/>
      <c r="E2" s="361"/>
    </row>
    <row r="3" spans="1:14" ht="15" thickBot="1" x14ac:dyDescent="0.35">
      <c r="A3" s="372" t="s">
        <v>48</v>
      </c>
      <c r="B3" s="63" t="s">
        <v>49</v>
      </c>
      <c r="C3" s="373">
        <v>1</v>
      </c>
      <c r="D3" s="374">
        <v>2</v>
      </c>
      <c r="E3" s="193" t="s">
        <v>50</v>
      </c>
      <c r="G3" s="56" t="s">
        <v>45</v>
      </c>
      <c r="H3" s="297" t="s">
        <v>46</v>
      </c>
      <c r="I3" s="297"/>
      <c r="J3" s="297"/>
      <c r="K3" s="297"/>
      <c r="L3" s="297"/>
      <c r="M3" s="297" t="s">
        <v>47</v>
      </c>
      <c r="N3" s="298"/>
    </row>
    <row r="4" spans="1:14" x14ac:dyDescent="0.3">
      <c r="A4" s="130">
        <v>1</v>
      </c>
      <c r="B4" s="185" t="s">
        <v>318</v>
      </c>
      <c r="C4" s="137">
        <v>30</v>
      </c>
      <c r="D4" s="59">
        <v>42</v>
      </c>
      <c r="E4" s="371">
        <f>SUM(C4:D4)</f>
        <v>72</v>
      </c>
      <c r="G4" s="68">
        <v>1</v>
      </c>
      <c r="H4" s="345" t="s">
        <v>194</v>
      </c>
      <c r="I4" s="328"/>
      <c r="J4" s="328"/>
      <c r="K4" s="328"/>
      <c r="L4" s="357"/>
      <c r="M4" s="268" t="s">
        <v>195</v>
      </c>
      <c r="N4" s="271"/>
    </row>
    <row r="5" spans="1:14" ht="15" thickBot="1" x14ac:dyDescent="0.35">
      <c r="A5" s="116">
        <v>2</v>
      </c>
      <c r="B5" s="122" t="s">
        <v>334</v>
      </c>
      <c r="C5" s="120">
        <v>17</v>
      </c>
      <c r="D5" s="60">
        <v>54</v>
      </c>
      <c r="E5" s="118">
        <f>SUM(C5:D5)</f>
        <v>71</v>
      </c>
      <c r="G5" s="115">
        <v>2</v>
      </c>
      <c r="H5" s="341" t="s">
        <v>201</v>
      </c>
      <c r="I5" s="342"/>
      <c r="J5" s="342"/>
      <c r="K5" s="342"/>
      <c r="L5" s="343"/>
      <c r="M5" s="266" t="s">
        <v>202</v>
      </c>
      <c r="N5" s="267"/>
    </row>
    <row r="6" spans="1:14" x14ac:dyDescent="0.3">
      <c r="A6" s="116">
        <v>3</v>
      </c>
      <c r="B6" s="122" t="s">
        <v>95</v>
      </c>
      <c r="C6" s="120">
        <v>12</v>
      </c>
      <c r="D6" s="62">
        <v>36</v>
      </c>
      <c r="E6" s="118">
        <f>SUM(C6:D6)</f>
        <v>48</v>
      </c>
    </row>
    <row r="7" spans="1:14" x14ac:dyDescent="0.3">
      <c r="A7" s="116">
        <v>4</v>
      </c>
      <c r="B7" s="122" t="s">
        <v>332</v>
      </c>
      <c r="C7" s="120"/>
      <c r="D7" s="60">
        <v>42</v>
      </c>
      <c r="E7" s="118">
        <f>SUM(C7:D7)</f>
        <v>42</v>
      </c>
    </row>
    <row r="8" spans="1:14" x14ac:dyDescent="0.3">
      <c r="A8" s="116">
        <v>5</v>
      </c>
      <c r="B8" s="122" t="s">
        <v>71</v>
      </c>
      <c r="C8" s="120">
        <v>17</v>
      </c>
      <c r="D8" s="62">
        <v>24</v>
      </c>
      <c r="E8" s="118">
        <f>SUM(C8:D8)</f>
        <v>41</v>
      </c>
    </row>
    <row r="9" spans="1:14" x14ac:dyDescent="0.3">
      <c r="A9" s="116">
        <v>6</v>
      </c>
      <c r="B9" s="122" t="s">
        <v>199</v>
      </c>
      <c r="C9" s="120"/>
      <c r="D9" s="60">
        <v>32</v>
      </c>
      <c r="E9" s="118">
        <f>SUM(C9:D9)</f>
        <v>32</v>
      </c>
    </row>
    <row r="10" spans="1:14" x14ac:dyDescent="0.3">
      <c r="A10" s="116">
        <v>7</v>
      </c>
      <c r="B10" s="122" t="s">
        <v>76</v>
      </c>
      <c r="C10" s="120"/>
      <c r="D10" s="60">
        <v>22</v>
      </c>
      <c r="E10" s="118">
        <f>SUM(C10:D10)</f>
        <v>22</v>
      </c>
    </row>
    <row r="11" spans="1:14" x14ac:dyDescent="0.3">
      <c r="A11" s="116">
        <v>8</v>
      </c>
      <c r="B11" s="122" t="s">
        <v>77</v>
      </c>
      <c r="C11" s="120">
        <v>8</v>
      </c>
      <c r="D11" s="60">
        <v>6</v>
      </c>
      <c r="E11" s="118">
        <f>SUM(C11:D11)</f>
        <v>14</v>
      </c>
    </row>
    <row r="12" spans="1:14" x14ac:dyDescent="0.3">
      <c r="A12" s="116">
        <v>9</v>
      </c>
      <c r="B12" s="122" t="s">
        <v>74</v>
      </c>
      <c r="C12" s="120">
        <v>10</v>
      </c>
      <c r="D12" s="62"/>
      <c r="E12" s="118">
        <f>SUM(C12:D12)</f>
        <v>10</v>
      </c>
    </row>
    <row r="13" spans="1:14" x14ac:dyDescent="0.3">
      <c r="A13" s="116">
        <v>10</v>
      </c>
      <c r="B13" s="122" t="s">
        <v>335</v>
      </c>
      <c r="C13" s="120">
        <v>8</v>
      </c>
      <c r="D13" s="62"/>
      <c r="E13" s="118">
        <f>SUM(C13:D13)</f>
        <v>8</v>
      </c>
    </row>
    <row r="14" spans="1:14" ht="15" thickBot="1" x14ac:dyDescent="0.35">
      <c r="A14" s="117">
        <v>11</v>
      </c>
      <c r="B14" s="123" t="s">
        <v>317</v>
      </c>
      <c r="C14" s="124">
        <v>4</v>
      </c>
      <c r="D14" s="79"/>
      <c r="E14" s="119">
        <f>SUM(C14:D14)</f>
        <v>4</v>
      </c>
    </row>
  </sheetData>
  <sortState ref="B4:E14">
    <sortCondition descending="1" ref="E4:E14"/>
  </sortState>
  <mergeCells count="7">
    <mergeCell ref="A1:E2"/>
    <mergeCell ref="H3:L3"/>
    <mergeCell ref="M3:N3"/>
    <mergeCell ref="H4:L4"/>
    <mergeCell ref="M4:N4"/>
    <mergeCell ref="H5:L5"/>
    <mergeCell ref="M5:N5"/>
  </mergeCells>
  <pageMargins left="0.7" right="0.7" top="0.75" bottom="0.75" header="0.3" footer="0.3"/>
  <pageSetup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O478"/>
  <sheetViews>
    <sheetView topLeftCell="A451" workbookViewId="0">
      <selection activeCell="F453" sqref="F453"/>
    </sheetView>
  </sheetViews>
  <sheetFormatPr defaultRowHeight="14.4" x14ac:dyDescent="0.3"/>
  <cols>
    <col min="1" max="1" width="8.88671875" customWidth="1"/>
    <col min="2" max="2" width="16.21875" customWidth="1"/>
    <col min="6" max="6" width="17.21875" customWidth="1"/>
    <col min="10" max="10" width="16.33203125" customWidth="1"/>
    <col min="14" max="14" width="16.77734375" customWidth="1"/>
    <col min="18" max="18" width="12.77734375" customWidth="1"/>
    <col min="22" max="22" width="13.21875" customWidth="1"/>
    <col min="26" max="26" width="13.33203125" customWidth="1"/>
    <col min="28" max="28" width="8.88671875" customWidth="1"/>
    <col min="30" max="30" width="14.21875" customWidth="1"/>
    <col min="32" max="32" width="9.77734375" customWidth="1"/>
    <col min="34" max="34" width="12.88671875" customWidth="1"/>
    <col min="38" max="38" width="14.44140625" customWidth="1"/>
  </cols>
  <sheetData>
    <row r="2" spans="1:9" x14ac:dyDescent="0.3">
      <c r="A2" s="74" t="s">
        <v>145</v>
      </c>
    </row>
    <row r="3" spans="1:9" x14ac:dyDescent="0.3">
      <c r="B3" s="74">
        <v>130</v>
      </c>
      <c r="C3" s="74" t="s">
        <v>141</v>
      </c>
      <c r="F3" s="74">
        <v>135</v>
      </c>
      <c r="G3" s="74" t="s">
        <v>141</v>
      </c>
      <c r="I3" s="76" t="s">
        <v>50</v>
      </c>
    </row>
    <row r="4" spans="1:9" x14ac:dyDescent="0.3">
      <c r="A4">
        <v>4</v>
      </c>
      <c r="B4" t="s">
        <v>110</v>
      </c>
      <c r="C4">
        <f>13*2.5</f>
        <v>32.5</v>
      </c>
      <c r="E4">
        <v>6</v>
      </c>
      <c r="F4" t="s">
        <v>110</v>
      </c>
      <c r="G4">
        <f>11*2.5</f>
        <v>27.5</v>
      </c>
      <c r="I4" s="76">
        <f>C4+G4</f>
        <v>60</v>
      </c>
    </row>
    <row r="5" spans="1:9" x14ac:dyDescent="0.3">
      <c r="A5">
        <v>9</v>
      </c>
      <c r="B5" t="s">
        <v>135</v>
      </c>
      <c r="C5">
        <f>8*2.5</f>
        <v>20</v>
      </c>
      <c r="E5">
        <v>7</v>
      </c>
      <c r="F5" t="s">
        <v>135</v>
      </c>
      <c r="G5">
        <f>10*2.5</f>
        <v>25</v>
      </c>
      <c r="I5" s="76">
        <f t="shared" ref="I5:I15" si="0">C5+G5</f>
        <v>45</v>
      </c>
    </row>
    <row r="6" spans="1:9" x14ac:dyDescent="0.3">
      <c r="A6">
        <v>14</v>
      </c>
      <c r="B6" t="s">
        <v>146</v>
      </c>
      <c r="C6">
        <f>3*2.5</f>
        <v>7.5</v>
      </c>
      <c r="I6" s="76">
        <f t="shared" si="0"/>
        <v>7.5</v>
      </c>
    </row>
    <row r="7" spans="1:9" x14ac:dyDescent="0.3">
      <c r="A7">
        <v>6</v>
      </c>
      <c r="B7" t="s">
        <v>102</v>
      </c>
      <c r="C7">
        <f>11*2.5</f>
        <v>27.5</v>
      </c>
      <c r="E7">
        <v>3</v>
      </c>
      <c r="F7" t="s">
        <v>102</v>
      </c>
      <c r="G7">
        <f>15*2.5</f>
        <v>37.5</v>
      </c>
      <c r="I7" s="76">
        <f t="shared" si="0"/>
        <v>65</v>
      </c>
    </row>
    <row r="8" spans="1:9" x14ac:dyDescent="0.3">
      <c r="A8">
        <v>7</v>
      </c>
      <c r="B8" t="s">
        <v>136</v>
      </c>
      <c r="C8">
        <f>10*2.5</f>
        <v>25</v>
      </c>
      <c r="E8">
        <v>13</v>
      </c>
      <c r="F8" t="s">
        <v>136</v>
      </c>
      <c r="G8">
        <f>4*2.5</f>
        <v>10</v>
      </c>
      <c r="I8" s="76">
        <f t="shared" si="0"/>
        <v>35</v>
      </c>
    </row>
    <row r="9" spans="1:9" x14ac:dyDescent="0.3">
      <c r="A9">
        <v>15</v>
      </c>
      <c r="B9" t="s">
        <v>101</v>
      </c>
      <c r="C9">
        <f>2*2.5</f>
        <v>5</v>
      </c>
      <c r="E9">
        <v>10</v>
      </c>
      <c r="F9" t="s">
        <v>101</v>
      </c>
      <c r="G9">
        <f>7*2.5</f>
        <v>17.5</v>
      </c>
      <c r="I9" s="76">
        <f t="shared" si="0"/>
        <v>22.5</v>
      </c>
    </row>
    <row r="10" spans="1:9" x14ac:dyDescent="0.3">
      <c r="E10">
        <v>16</v>
      </c>
      <c r="F10" t="s">
        <v>140</v>
      </c>
      <c r="G10">
        <f>1*2.5</f>
        <v>2.5</v>
      </c>
      <c r="I10" s="76">
        <f t="shared" si="0"/>
        <v>2.5</v>
      </c>
    </row>
    <row r="11" spans="1:9" x14ac:dyDescent="0.3">
      <c r="A11">
        <v>1</v>
      </c>
      <c r="B11" t="s">
        <v>100</v>
      </c>
      <c r="C11">
        <f>20*2.5</f>
        <v>50</v>
      </c>
      <c r="E11">
        <v>1</v>
      </c>
      <c r="F11" t="s">
        <v>100</v>
      </c>
      <c r="G11">
        <f>20*2.5</f>
        <v>50</v>
      </c>
      <c r="I11" s="76">
        <f t="shared" si="0"/>
        <v>100</v>
      </c>
    </row>
    <row r="12" spans="1:9" x14ac:dyDescent="0.3">
      <c r="E12">
        <v>12</v>
      </c>
      <c r="F12" t="s">
        <v>90</v>
      </c>
      <c r="G12">
        <f>5*2.5</f>
        <v>12.5</v>
      </c>
      <c r="I12" s="76">
        <f t="shared" si="0"/>
        <v>12.5</v>
      </c>
    </row>
    <row r="13" spans="1:9" x14ac:dyDescent="0.3">
      <c r="E13">
        <v>2</v>
      </c>
      <c r="F13" t="s">
        <v>108</v>
      </c>
      <c r="G13">
        <f>17*2.5</f>
        <v>42.5</v>
      </c>
      <c r="I13" s="76">
        <f t="shared" si="0"/>
        <v>42.5</v>
      </c>
    </row>
    <row r="14" spans="1:9" x14ac:dyDescent="0.3">
      <c r="A14">
        <v>10</v>
      </c>
      <c r="B14" t="s">
        <v>115</v>
      </c>
      <c r="C14">
        <f>7*2.5</f>
        <v>17.5</v>
      </c>
      <c r="I14" s="76">
        <f t="shared" si="0"/>
        <v>17.5</v>
      </c>
    </row>
    <row r="15" spans="1:9" x14ac:dyDescent="0.3">
      <c r="A15">
        <v>8</v>
      </c>
      <c r="B15" t="s">
        <v>138</v>
      </c>
      <c r="C15">
        <f>2.5*9</f>
        <v>22.5</v>
      </c>
      <c r="E15">
        <v>8</v>
      </c>
      <c r="F15" t="s">
        <v>138</v>
      </c>
      <c r="G15">
        <f>9*2.5</f>
        <v>22.5</v>
      </c>
      <c r="I15" s="76">
        <f t="shared" si="0"/>
        <v>45</v>
      </c>
    </row>
    <row r="17" spans="1:9" ht="14.4" customHeight="1" x14ac:dyDescent="0.3">
      <c r="A17" s="74" t="s">
        <v>149</v>
      </c>
    </row>
    <row r="18" spans="1:9" x14ac:dyDescent="0.3">
      <c r="B18" s="74">
        <v>130</v>
      </c>
      <c r="C18" s="74" t="s">
        <v>141</v>
      </c>
      <c r="F18" s="74">
        <v>135</v>
      </c>
      <c r="G18" s="74" t="s">
        <v>141</v>
      </c>
      <c r="I18" s="76" t="s">
        <v>50</v>
      </c>
    </row>
    <row r="19" spans="1:9" x14ac:dyDescent="0.3">
      <c r="A19">
        <v>2</v>
      </c>
      <c r="B19" t="s">
        <v>110</v>
      </c>
      <c r="C19">
        <f>17*2.5</f>
        <v>42.5</v>
      </c>
      <c r="E19">
        <v>2</v>
      </c>
      <c r="F19" t="s">
        <v>110</v>
      </c>
      <c r="G19">
        <f>17*2.5</f>
        <v>42.5</v>
      </c>
      <c r="I19" s="76">
        <f>C19+G19</f>
        <v>85</v>
      </c>
    </row>
    <row r="20" spans="1:9" x14ac:dyDescent="0.3">
      <c r="A20">
        <v>14</v>
      </c>
      <c r="B20" t="s">
        <v>103</v>
      </c>
      <c r="C20">
        <f>3*2.5</f>
        <v>7.5</v>
      </c>
      <c r="E20">
        <v>13</v>
      </c>
      <c r="F20" t="s">
        <v>103</v>
      </c>
      <c r="G20">
        <f>4*2.5</f>
        <v>10</v>
      </c>
      <c r="I20" s="76">
        <f t="shared" ref="I20:I25" si="1">C20+G20</f>
        <v>17.5</v>
      </c>
    </row>
    <row r="21" spans="1:9" x14ac:dyDescent="0.3">
      <c r="A21">
        <v>7</v>
      </c>
      <c r="B21" t="s">
        <v>135</v>
      </c>
      <c r="C21">
        <f>10*2.5</f>
        <v>25</v>
      </c>
      <c r="E21">
        <v>11</v>
      </c>
      <c r="F21" t="s">
        <v>135</v>
      </c>
      <c r="G21">
        <f>6*2.5</f>
        <v>15</v>
      </c>
      <c r="I21" s="76">
        <f t="shared" si="1"/>
        <v>40</v>
      </c>
    </row>
    <row r="22" spans="1:9" x14ac:dyDescent="0.3">
      <c r="E22">
        <v>12</v>
      </c>
      <c r="F22" t="s">
        <v>146</v>
      </c>
      <c r="G22">
        <f>5*2.5</f>
        <v>12.5</v>
      </c>
      <c r="I22" s="76">
        <f t="shared" si="1"/>
        <v>12.5</v>
      </c>
    </row>
    <row r="23" spans="1:9" x14ac:dyDescent="0.3">
      <c r="A23">
        <v>10</v>
      </c>
      <c r="B23" t="s">
        <v>86</v>
      </c>
      <c r="C23">
        <f>7*2.5</f>
        <v>17.5</v>
      </c>
      <c r="E23">
        <v>14</v>
      </c>
      <c r="F23" t="s">
        <v>86</v>
      </c>
      <c r="G23">
        <f>3*2.5</f>
        <v>7.5</v>
      </c>
      <c r="I23" s="76">
        <f t="shared" si="1"/>
        <v>25</v>
      </c>
    </row>
    <row r="24" spans="1:9" x14ac:dyDescent="0.3">
      <c r="A24">
        <v>1</v>
      </c>
      <c r="B24" t="s">
        <v>101</v>
      </c>
      <c r="C24">
        <f>20*2.5</f>
        <v>50</v>
      </c>
      <c r="I24" s="76">
        <f t="shared" si="1"/>
        <v>50</v>
      </c>
    </row>
    <row r="25" spans="1:9" x14ac:dyDescent="0.3">
      <c r="A25">
        <v>13</v>
      </c>
      <c r="B25" t="s">
        <v>100</v>
      </c>
      <c r="C25">
        <f>4*2.5</f>
        <v>10</v>
      </c>
      <c r="E25">
        <v>1</v>
      </c>
      <c r="F25" t="s">
        <v>100</v>
      </c>
      <c r="G25">
        <f>20*2.5</f>
        <v>50</v>
      </c>
      <c r="I25" s="76">
        <f t="shared" si="1"/>
        <v>60</v>
      </c>
    </row>
    <row r="27" spans="1:9" s="74" customFormat="1" x14ac:dyDescent="0.3">
      <c r="A27" s="74" t="s">
        <v>152</v>
      </c>
    </row>
    <row r="28" spans="1:9" x14ac:dyDescent="0.3">
      <c r="B28" s="74">
        <v>140</v>
      </c>
      <c r="C28" s="74" t="s">
        <v>130</v>
      </c>
      <c r="E28" s="76" t="s">
        <v>50</v>
      </c>
    </row>
    <row r="29" spans="1:9" x14ac:dyDescent="0.3">
      <c r="A29">
        <v>6</v>
      </c>
      <c r="B29" t="s">
        <v>142</v>
      </c>
      <c r="C29">
        <f>11*3.5</f>
        <v>38.5</v>
      </c>
      <c r="E29" s="76">
        <v>38.5</v>
      </c>
    </row>
    <row r="31" spans="1:9" x14ac:dyDescent="0.3">
      <c r="A31" s="74" t="s">
        <v>155</v>
      </c>
    </row>
    <row r="32" spans="1:9" x14ac:dyDescent="0.3">
      <c r="B32" s="74">
        <v>135</v>
      </c>
      <c r="C32" s="74" t="s">
        <v>133</v>
      </c>
      <c r="D32" s="74"/>
      <c r="E32" s="74"/>
      <c r="F32" s="74">
        <v>135</v>
      </c>
      <c r="G32" s="74" t="s">
        <v>133</v>
      </c>
      <c r="I32" s="76" t="s">
        <v>50</v>
      </c>
    </row>
    <row r="33" spans="1:21" x14ac:dyDescent="0.3">
      <c r="A33">
        <v>1</v>
      </c>
      <c r="B33" t="s">
        <v>139</v>
      </c>
      <c r="C33">
        <f>20*5.5</f>
        <v>110</v>
      </c>
      <c r="E33">
        <v>1</v>
      </c>
      <c r="F33" t="s">
        <v>139</v>
      </c>
      <c r="G33">
        <f>20*5.5</f>
        <v>110</v>
      </c>
      <c r="I33" s="76">
        <f>C33+G33</f>
        <v>220</v>
      </c>
    </row>
    <row r="35" spans="1:21" x14ac:dyDescent="0.3">
      <c r="A35" s="74" t="s">
        <v>162</v>
      </c>
      <c r="B35" s="74"/>
      <c r="C35" s="74"/>
    </row>
    <row r="36" spans="1:21" x14ac:dyDescent="0.3">
      <c r="A36" s="74" t="s">
        <v>144</v>
      </c>
      <c r="B36" s="74">
        <v>135</v>
      </c>
      <c r="C36" s="74" t="s">
        <v>130</v>
      </c>
      <c r="E36" s="74" t="s">
        <v>143</v>
      </c>
      <c r="F36" s="74">
        <v>130</v>
      </c>
      <c r="G36" s="74" t="s">
        <v>132</v>
      </c>
      <c r="I36" s="76" t="s">
        <v>50</v>
      </c>
    </row>
    <row r="37" spans="1:21" x14ac:dyDescent="0.3">
      <c r="A37">
        <v>6</v>
      </c>
      <c r="B37" t="s">
        <v>161</v>
      </c>
      <c r="C37">
        <f>11*3.5</f>
        <v>38.5</v>
      </c>
      <c r="E37">
        <v>10</v>
      </c>
      <c r="F37" t="s">
        <v>161</v>
      </c>
      <c r="G37">
        <f>7*4.5</f>
        <v>31.5</v>
      </c>
      <c r="I37" s="76">
        <f>C37+G37</f>
        <v>70</v>
      </c>
    </row>
    <row r="39" spans="1:21" x14ac:dyDescent="0.3">
      <c r="A39" s="74" t="s">
        <v>155</v>
      </c>
    </row>
    <row r="40" spans="1:21" x14ac:dyDescent="0.3">
      <c r="B40" s="74">
        <v>140</v>
      </c>
      <c r="C40" s="74" t="s">
        <v>133</v>
      </c>
      <c r="E40" s="76" t="s">
        <v>50</v>
      </c>
    </row>
    <row r="41" spans="1:21" x14ac:dyDescent="0.3">
      <c r="A41">
        <v>15</v>
      </c>
      <c r="B41" t="s">
        <v>139</v>
      </c>
      <c r="C41">
        <f>2*5.5</f>
        <v>11</v>
      </c>
      <c r="E41" s="76">
        <f>C41</f>
        <v>11</v>
      </c>
    </row>
    <row r="43" spans="1:21" x14ac:dyDescent="0.3">
      <c r="A43" s="74" t="s">
        <v>164</v>
      </c>
    </row>
    <row r="44" spans="1:21" x14ac:dyDescent="0.3">
      <c r="A44" s="74" t="s">
        <v>143</v>
      </c>
      <c r="B44" s="74">
        <v>145</v>
      </c>
      <c r="C44" s="74" t="s">
        <v>131</v>
      </c>
      <c r="F44" s="74">
        <v>150</v>
      </c>
      <c r="G44" s="74" t="s">
        <v>131</v>
      </c>
      <c r="J44" s="74">
        <v>145</v>
      </c>
      <c r="K44" s="74" t="s">
        <v>131</v>
      </c>
      <c r="N44" s="74">
        <v>135</v>
      </c>
      <c r="O44" s="74" t="s">
        <v>132</v>
      </c>
      <c r="R44" s="74">
        <v>155</v>
      </c>
      <c r="S44" s="74" t="s">
        <v>131</v>
      </c>
      <c r="U44" s="76" t="s">
        <v>50</v>
      </c>
    </row>
    <row r="45" spans="1:21" x14ac:dyDescent="0.3">
      <c r="A45">
        <v>2</v>
      </c>
      <c r="B45" t="s">
        <v>110</v>
      </c>
      <c r="C45">
        <f>17*5</f>
        <v>85</v>
      </c>
      <c r="E45">
        <v>11</v>
      </c>
      <c r="F45" t="s">
        <v>110</v>
      </c>
      <c r="G45">
        <f>6*5</f>
        <v>30</v>
      </c>
      <c r="I45">
        <v>8</v>
      </c>
      <c r="J45" t="s">
        <v>110</v>
      </c>
      <c r="K45">
        <f>9*5</f>
        <v>45</v>
      </c>
      <c r="M45">
        <v>1</v>
      </c>
      <c r="N45" t="s">
        <v>110</v>
      </c>
      <c r="O45">
        <f>20*4.5</f>
        <v>90</v>
      </c>
      <c r="Q45">
        <v>5</v>
      </c>
      <c r="R45" t="s">
        <v>110</v>
      </c>
      <c r="S45">
        <f>12*5</f>
        <v>60</v>
      </c>
      <c r="U45" s="76">
        <f>C45+G45+K45+O45+S45</f>
        <v>310</v>
      </c>
    </row>
    <row r="46" spans="1:21" x14ac:dyDescent="0.3">
      <c r="E46">
        <v>16</v>
      </c>
      <c r="F46" t="s">
        <v>90</v>
      </c>
      <c r="G46">
        <f>1*5</f>
        <v>5</v>
      </c>
      <c r="U46" s="76">
        <f t="shared" ref="U46:U47" si="2">C46+G46+K46+O46+S46</f>
        <v>5</v>
      </c>
    </row>
    <row r="47" spans="1:21" x14ac:dyDescent="0.3">
      <c r="I47">
        <v>9</v>
      </c>
      <c r="J47" t="s">
        <v>100</v>
      </c>
      <c r="K47">
        <f>8*5</f>
        <v>40</v>
      </c>
      <c r="U47" s="76">
        <f t="shared" si="2"/>
        <v>40</v>
      </c>
    </row>
    <row r="49" spans="1:25" x14ac:dyDescent="0.3">
      <c r="A49" s="74" t="s">
        <v>155</v>
      </c>
    </row>
    <row r="50" spans="1:25" x14ac:dyDescent="0.3">
      <c r="B50" s="74">
        <v>140</v>
      </c>
      <c r="C50" s="74" t="s">
        <v>133</v>
      </c>
      <c r="F50" s="74">
        <v>140</v>
      </c>
      <c r="G50" s="74" t="s">
        <v>133</v>
      </c>
      <c r="I50" s="76" t="s">
        <v>50</v>
      </c>
    </row>
    <row r="51" spans="1:25" x14ac:dyDescent="0.3">
      <c r="A51">
        <v>4</v>
      </c>
      <c r="B51" t="s">
        <v>123</v>
      </c>
      <c r="C51">
        <f>13*5.5</f>
        <v>71.5</v>
      </c>
      <c r="E51">
        <v>4</v>
      </c>
      <c r="F51" t="s">
        <v>123</v>
      </c>
      <c r="G51">
        <f>13*5.5</f>
        <v>71.5</v>
      </c>
      <c r="I51" s="76">
        <f>C51+G51</f>
        <v>143</v>
      </c>
    </row>
    <row r="53" spans="1:25" x14ac:dyDescent="0.3">
      <c r="A53" s="74" t="s">
        <v>160</v>
      </c>
    </row>
    <row r="54" spans="1:25" x14ac:dyDescent="0.3">
      <c r="A54" s="74"/>
      <c r="B54" s="74">
        <v>135</v>
      </c>
      <c r="C54" s="74" t="s">
        <v>130</v>
      </c>
      <c r="E54" s="76" t="s">
        <v>50</v>
      </c>
    </row>
    <row r="55" spans="1:25" x14ac:dyDescent="0.3">
      <c r="A55">
        <v>9</v>
      </c>
      <c r="B55" t="s">
        <v>161</v>
      </c>
      <c r="C55">
        <f>8*3.5</f>
        <v>28</v>
      </c>
      <c r="E55" s="76">
        <f>C55</f>
        <v>28</v>
      </c>
    </row>
    <row r="57" spans="1:25" x14ac:dyDescent="0.3">
      <c r="A57" s="74" t="s">
        <v>155</v>
      </c>
    </row>
    <row r="58" spans="1:25" x14ac:dyDescent="0.3">
      <c r="B58" s="74">
        <v>135</v>
      </c>
      <c r="C58" s="74" t="s">
        <v>133</v>
      </c>
      <c r="F58" s="74">
        <v>145</v>
      </c>
      <c r="G58" s="74" t="s">
        <v>134</v>
      </c>
      <c r="I58" s="76" t="s">
        <v>50</v>
      </c>
    </row>
    <row r="59" spans="1:25" x14ac:dyDescent="0.3">
      <c r="A59">
        <v>1</v>
      </c>
      <c r="B59" t="s">
        <v>123</v>
      </c>
      <c r="C59">
        <f>20*5.5</f>
        <v>110</v>
      </c>
      <c r="E59">
        <v>10</v>
      </c>
      <c r="F59" t="s">
        <v>123</v>
      </c>
      <c r="G59">
        <f>7*6</f>
        <v>42</v>
      </c>
      <c r="I59" s="76">
        <f>C59+G59</f>
        <v>152</v>
      </c>
    </row>
    <row r="61" spans="1:25" x14ac:dyDescent="0.3">
      <c r="A61" s="74" t="s">
        <v>171</v>
      </c>
    </row>
    <row r="62" spans="1:25" x14ac:dyDescent="0.3">
      <c r="B62" s="74">
        <v>135</v>
      </c>
      <c r="C62" s="74" t="s">
        <v>132</v>
      </c>
      <c r="D62" s="74"/>
      <c r="E62" s="74"/>
      <c r="F62" s="74">
        <v>140</v>
      </c>
      <c r="G62" s="74" t="s">
        <v>132</v>
      </c>
      <c r="H62" s="74"/>
      <c r="I62" s="74"/>
      <c r="J62" s="74">
        <v>135</v>
      </c>
      <c r="K62" s="74" t="s">
        <v>132</v>
      </c>
      <c r="N62" s="74">
        <v>140</v>
      </c>
      <c r="O62" s="74" t="s">
        <v>132</v>
      </c>
      <c r="R62" s="74">
        <v>145</v>
      </c>
      <c r="S62" s="74" t="s">
        <v>131</v>
      </c>
      <c r="V62" s="74">
        <v>150</v>
      </c>
      <c r="W62" s="74" t="s">
        <v>131</v>
      </c>
      <c r="Y62" s="76" t="s">
        <v>50</v>
      </c>
    </row>
    <row r="63" spans="1:25" x14ac:dyDescent="0.3">
      <c r="Q63">
        <v>6</v>
      </c>
      <c r="R63" t="s">
        <v>110</v>
      </c>
      <c r="S63">
        <f>11*5</f>
        <v>55</v>
      </c>
      <c r="U63">
        <v>4</v>
      </c>
      <c r="V63" t="s">
        <v>110</v>
      </c>
      <c r="W63">
        <f>13*5</f>
        <v>65</v>
      </c>
      <c r="Y63" s="76">
        <f>C63+G63+K63+O63+S63+W63</f>
        <v>120</v>
      </c>
    </row>
    <row r="64" spans="1:25" x14ac:dyDescent="0.3">
      <c r="E64">
        <v>4</v>
      </c>
      <c r="F64" t="s">
        <v>100</v>
      </c>
      <c r="G64">
        <f>13*4.5</f>
        <v>58.5</v>
      </c>
      <c r="M64">
        <v>4</v>
      </c>
      <c r="N64" t="s">
        <v>100</v>
      </c>
      <c r="O64">
        <f>13*4.5</f>
        <v>58.5</v>
      </c>
      <c r="Y64" s="76">
        <f t="shared" ref="Y64:Y65" si="3">C64+G64+K64+O64+S64+W64</f>
        <v>117</v>
      </c>
    </row>
    <row r="65" spans="1:25" x14ac:dyDescent="0.3">
      <c r="A65">
        <v>13</v>
      </c>
      <c r="B65" t="s">
        <v>90</v>
      </c>
      <c r="C65">
        <f>4*4.5</f>
        <v>18</v>
      </c>
      <c r="I65">
        <v>5</v>
      </c>
      <c r="J65" t="s">
        <v>90</v>
      </c>
      <c r="K65">
        <f>12*4.5</f>
        <v>54</v>
      </c>
      <c r="Y65" s="76">
        <f t="shared" si="3"/>
        <v>72</v>
      </c>
    </row>
    <row r="67" spans="1:25" x14ac:dyDescent="0.3">
      <c r="A67" s="74" t="s">
        <v>172</v>
      </c>
    </row>
    <row r="68" spans="1:25" x14ac:dyDescent="0.3">
      <c r="B68" s="99" t="s">
        <v>137</v>
      </c>
      <c r="C68" s="74" t="s">
        <v>141</v>
      </c>
      <c r="F68" s="99" t="s">
        <v>137</v>
      </c>
      <c r="G68" s="74" t="s">
        <v>141</v>
      </c>
      <c r="J68" s="99">
        <v>140</v>
      </c>
      <c r="K68" s="74" t="s">
        <v>141</v>
      </c>
      <c r="M68" s="81" t="s">
        <v>50</v>
      </c>
    </row>
    <row r="69" spans="1:25" x14ac:dyDescent="0.3">
      <c r="A69">
        <v>4</v>
      </c>
      <c r="B69" t="s">
        <v>104</v>
      </c>
      <c r="C69">
        <f>13*2.5</f>
        <v>32.5</v>
      </c>
      <c r="M69" s="81">
        <f>C69+G69+K69</f>
        <v>32.5</v>
      </c>
    </row>
    <row r="70" spans="1:25" x14ac:dyDescent="0.3">
      <c r="A70">
        <v>16</v>
      </c>
      <c r="B70" t="s">
        <v>110</v>
      </c>
      <c r="C70">
        <f>1*2.5</f>
        <v>2.5</v>
      </c>
      <c r="E70">
        <v>6</v>
      </c>
      <c r="F70" t="s">
        <v>110</v>
      </c>
      <c r="G70">
        <f>11*2.5</f>
        <v>27.5</v>
      </c>
      <c r="M70" s="81">
        <f t="shared" ref="M70:M75" si="4">C70+G70+K70</f>
        <v>30</v>
      </c>
    </row>
    <row r="71" spans="1:25" x14ac:dyDescent="0.3">
      <c r="A71">
        <v>7</v>
      </c>
      <c r="B71" t="s">
        <v>103</v>
      </c>
      <c r="C71">
        <f>10*2.5</f>
        <v>25</v>
      </c>
      <c r="M71" s="81">
        <f t="shared" si="4"/>
        <v>25</v>
      </c>
    </row>
    <row r="72" spans="1:25" x14ac:dyDescent="0.3">
      <c r="A72">
        <v>13</v>
      </c>
      <c r="B72" t="s">
        <v>101</v>
      </c>
      <c r="C72">
        <f>4*2.5</f>
        <v>10</v>
      </c>
      <c r="E72">
        <v>1</v>
      </c>
      <c r="F72" t="s">
        <v>101</v>
      </c>
      <c r="G72">
        <f>20*2.5</f>
        <v>50</v>
      </c>
      <c r="I72">
        <v>1</v>
      </c>
      <c r="J72" t="s">
        <v>101</v>
      </c>
      <c r="K72">
        <f>20*2.5</f>
        <v>50</v>
      </c>
      <c r="M72" s="81">
        <f t="shared" si="4"/>
        <v>110</v>
      </c>
    </row>
    <row r="73" spans="1:25" x14ac:dyDescent="0.3">
      <c r="A73">
        <v>6</v>
      </c>
      <c r="B73" t="s">
        <v>140</v>
      </c>
      <c r="C73">
        <f>11*2.5</f>
        <v>27.5</v>
      </c>
      <c r="I73">
        <v>8</v>
      </c>
      <c r="J73" t="s">
        <v>140</v>
      </c>
      <c r="K73">
        <f>9*2.5</f>
        <v>22.5</v>
      </c>
      <c r="M73" s="81">
        <f t="shared" si="4"/>
        <v>50</v>
      </c>
    </row>
    <row r="74" spans="1:25" x14ac:dyDescent="0.3">
      <c r="A74">
        <v>1</v>
      </c>
      <c r="B74" t="s">
        <v>100</v>
      </c>
      <c r="C74">
        <f>20*2.5</f>
        <v>50</v>
      </c>
      <c r="E74">
        <v>4</v>
      </c>
      <c r="F74" t="s">
        <v>100</v>
      </c>
      <c r="G74">
        <f>13*2.5</f>
        <v>32.5</v>
      </c>
      <c r="I74">
        <v>3</v>
      </c>
      <c r="J74" t="s">
        <v>100</v>
      </c>
      <c r="K74">
        <f>15*2.5</f>
        <v>37.5</v>
      </c>
      <c r="M74" s="81">
        <f t="shared" si="4"/>
        <v>120</v>
      </c>
    </row>
    <row r="75" spans="1:25" x14ac:dyDescent="0.3">
      <c r="E75">
        <v>5</v>
      </c>
      <c r="F75" t="s">
        <v>135</v>
      </c>
      <c r="G75">
        <f>12*2.5</f>
        <v>30</v>
      </c>
      <c r="I75">
        <v>7</v>
      </c>
      <c r="J75" t="s">
        <v>135</v>
      </c>
      <c r="K75">
        <f>10*2.5</f>
        <v>25</v>
      </c>
      <c r="M75" s="81">
        <f t="shared" si="4"/>
        <v>55</v>
      </c>
    </row>
    <row r="77" spans="1:25" x14ac:dyDescent="0.3">
      <c r="A77" s="74" t="s">
        <v>155</v>
      </c>
    </row>
    <row r="78" spans="1:25" x14ac:dyDescent="0.3">
      <c r="B78" s="74">
        <v>145</v>
      </c>
      <c r="C78" s="74" t="s">
        <v>134</v>
      </c>
      <c r="F78" s="74">
        <v>140</v>
      </c>
      <c r="G78" s="74" t="s">
        <v>133</v>
      </c>
      <c r="I78" s="76" t="s">
        <v>50</v>
      </c>
    </row>
    <row r="79" spans="1:25" x14ac:dyDescent="0.3">
      <c r="A79">
        <v>15</v>
      </c>
      <c r="B79" t="s">
        <v>139</v>
      </c>
      <c r="C79">
        <f>2*6</f>
        <v>12</v>
      </c>
      <c r="E79">
        <v>4</v>
      </c>
      <c r="F79" t="s">
        <v>139</v>
      </c>
      <c r="G79">
        <f>13*5.5</f>
        <v>71.5</v>
      </c>
      <c r="I79" s="76">
        <f>C79+G79</f>
        <v>83.5</v>
      </c>
    </row>
    <row r="81" spans="1:13" x14ac:dyDescent="0.3">
      <c r="A81" s="74" t="s">
        <v>176</v>
      </c>
    </row>
    <row r="82" spans="1:13" x14ac:dyDescent="0.3">
      <c r="B82" s="74">
        <v>130</v>
      </c>
      <c r="C82" s="74" t="s">
        <v>141</v>
      </c>
      <c r="F82" s="74">
        <v>135</v>
      </c>
      <c r="G82" s="74" t="s">
        <v>141</v>
      </c>
      <c r="J82" s="74">
        <v>135</v>
      </c>
      <c r="K82" s="74" t="s">
        <v>141</v>
      </c>
      <c r="M82" s="81" t="s">
        <v>50</v>
      </c>
    </row>
    <row r="83" spans="1:13" x14ac:dyDescent="0.3">
      <c r="E83">
        <v>14</v>
      </c>
      <c r="F83" t="s">
        <v>103</v>
      </c>
      <c r="G83">
        <f>3*2.5</f>
        <v>7.5</v>
      </c>
      <c r="M83" s="81">
        <f>C83+G83+K83</f>
        <v>7.5</v>
      </c>
    </row>
    <row r="84" spans="1:13" x14ac:dyDescent="0.3">
      <c r="A84">
        <v>5</v>
      </c>
      <c r="B84" t="s">
        <v>102</v>
      </c>
      <c r="C84">
        <f>12*2.5</f>
        <v>30</v>
      </c>
      <c r="E84">
        <v>12</v>
      </c>
      <c r="F84" t="s">
        <v>102</v>
      </c>
      <c r="G84">
        <f>5*2.5</f>
        <v>12.5</v>
      </c>
      <c r="I84">
        <v>3</v>
      </c>
      <c r="J84" t="s">
        <v>102</v>
      </c>
      <c r="K84">
        <f>15*2.5</f>
        <v>37.5</v>
      </c>
      <c r="M84" s="81">
        <f t="shared" ref="M84:M90" si="5">C84+G84+K84</f>
        <v>80</v>
      </c>
    </row>
    <row r="85" spans="1:13" x14ac:dyDescent="0.3">
      <c r="A85">
        <v>1</v>
      </c>
      <c r="B85" t="s">
        <v>105</v>
      </c>
      <c r="C85">
        <f>20*2.5</f>
        <v>50</v>
      </c>
      <c r="E85">
        <v>1</v>
      </c>
      <c r="F85" t="s">
        <v>105</v>
      </c>
      <c r="G85">
        <f>20*2.5</f>
        <v>50</v>
      </c>
      <c r="I85">
        <v>1</v>
      </c>
      <c r="J85" t="s">
        <v>105</v>
      </c>
      <c r="K85">
        <f>20*2.5</f>
        <v>50</v>
      </c>
      <c r="M85" s="81">
        <f t="shared" si="5"/>
        <v>150</v>
      </c>
    </row>
    <row r="86" spans="1:13" x14ac:dyDescent="0.3">
      <c r="E86">
        <v>2</v>
      </c>
      <c r="F86" t="s">
        <v>101</v>
      </c>
      <c r="G86">
        <f>17*2.5</f>
        <v>42.5</v>
      </c>
      <c r="I86">
        <v>2</v>
      </c>
      <c r="J86" t="s">
        <v>101</v>
      </c>
      <c r="K86">
        <f>17*2.5</f>
        <v>42.5</v>
      </c>
      <c r="M86" s="81">
        <f t="shared" si="5"/>
        <v>85</v>
      </c>
    </row>
    <row r="87" spans="1:13" x14ac:dyDescent="0.3">
      <c r="E87">
        <v>8</v>
      </c>
      <c r="F87" t="s">
        <v>140</v>
      </c>
      <c r="G87">
        <f>9*2.5</f>
        <v>22.5</v>
      </c>
      <c r="I87">
        <v>13</v>
      </c>
      <c r="J87" t="s">
        <v>140</v>
      </c>
      <c r="K87">
        <f>4*2.5</f>
        <v>10</v>
      </c>
      <c r="M87" s="81">
        <f t="shared" si="5"/>
        <v>32.5</v>
      </c>
    </row>
    <row r="88" spans="1:13" x14ac:dyDescent="0.3">
      <c r="E88">
        <v>13</v>
      </c>
      <c r="F88" t="s">
        <v>108</v>
      </c>
      <c r="G88">
        <f>4*2.5</f>
        <v>10</v>
      </c>
      <c r="M88" s="81">
        <f t="shared" si="5"/>
        <v>10</v>
      </c>
    </row>
    <row r="89" spans="1:13" x14ac:dyDescent="0.3">
      <c r="A89">
        <v>8</v>
      </c>
      <c r="B89" t="s">
        <v>136</v>
      </c>
      <c r="C89">
        <f>9*2.5</f>
        <v>22.5</v>
      </c>
      <c r="M89" s="81">
        <f t="shared" si="5"/>
        <v>22.5</v>
      </c>
    </row>
    <row r="90" spans="1:13" x14ac:dyDescent="0.3">
      <c r="A90">
        <v>6</v>
      </c>
      <c r="B90" t="s">
        <v>116</v>
      </c>
      <c r="C90">
        <f>11*2.5</f>
        <v>27.5</v>
      </c>
      <c r="M90" s="81">
        <f t="shared" si="5"/>
        <v>27.5</v>
      </c>
    </row>
    <row r="92" spans="1:13" x14ac:dyDescent="0.3">
      <c r="A92" s="74" t="s">
        <v>178</v>
      </c>
    </row>
    <row r="93" spans="1:13" x14ac:dyDescent="0.3">
      <c r="B93" s="74">
        <v>130</v>
      </c>
      <c r="C93" s="74" t="s">
        <v>141</v>
      </c>
      <c r="F93" s="74">
        <v>135</v>
      </c>
      <c r="G93" s="74" t="s">
        <v>141</v>
      </c>
      <c r="J93" s="74">
        <v>140</v>
      </c>
      <c r="K93" s="74" t="s">
        <v>141</v>
      </c>
      <c r="M93" s="81" t="s">
        <v>50</v>
      </c>
    </row>
    <row r="94" spans="1:13" x14ac:dyDescent="0.3">
      <c r="A94">
        <v>2</v>
      </c>
      <c r="B94" t="s">
        <v>110</v>
      </c>
      <c r="C94">
        <f>17*2.5</f>
        <v>42.5</v>
      </c>
      <c r="E94">
        <v>13</v>
      </c>
      <c r="F94" t="s">
        <v>110</v>
      </c>
      <c r="G94">
        <f>4*2.5</f>
        <v>10</v>
      </c>
      <c r="I94">
        <v>10</v>
      </c>
      <c r="J94" t="s">
        <v>110</v>
      </c>
      <c r="K94">
        <f>7*2.5</f>
        <v>17.5</v>
      </c>
      <c r="M94" s="81">
        <f>C94+G94+K94</f>
        <v>70</v>
      </c>
    </row>
    <row r="95" spans="1:13" x14ac:dyDescent="0.3">
      <c r="A95">
        <v>16</v>
      </c>
      <c r="B95" t="s">
        <v>135</v>
      </c>
      <c r="C95">
        <f>1*2.5</f>
        <v>2.5</v>
      </c>
      <c r="I95">
        <v>11</v>
      </c>
      <c r="J95" t="s">
        <v>135</v>
      </c>
      <c r="K95">
        <f>6*2.5</f>
        <v>15</v>
      </c>
      <c r="M95" s="81">
        <f t="shared" ref="M95:M103" si="6">C95+G95+K95</f>
        <v>17.5</v>
      </c>
    </row>
    <row r="96" spans="1:13" x14ac:dyDescent="0.3">
      <c r="I96">
        <v>14</v>
      </c>
      <c r="J96" t="s">
        <v>86</v>
      </c>
      <c r="K96">
        <f>3*2.5</f>
        <v>7.5</v>
      </c>
      <c r="M96" s="81">
        <f t="shared" si="6"/>
        <v>7.5</v>
      </c>
    </row>
    <row r="97" spans="1:13" x14ac:dyDescent="0.3">
      <c r="A97">
        <v>7</v>
      </c>
      <c r="B97" t="s">
        <v>102</v>
      </c>
      <c r="C97">
        <f>10*2.5</f>
        <v>25</v>
      </c>
      <c r="I97">
        <v>7</v>
      </c>
      <c r="J97" t="s">
        <v>102</v>
      </c>
      <c r="K97">
        <f>10*2.5</f>
        <v>25</v>
      </c>
      <c r="M97" s="81">
        <f t="shared" si="6"/>
        <v>50</v>
      </c>
    </row>
    <row r="98" spans="1:13" x14ac:dyDescent="0.3">
      <c r="E98">
        <v>5</v>
      </c>
      <c r="F98" t="s">
        <v>105</v>
      </c>
      <c r="G98">
        <f>12*2.5</f>
        <v>30</v>
      </c>
      <c r="I98">
        <v>2</v>
      </c>
      <c r="J98" t="s">
        <v>105</v>
      </c>
      <c r="K98">
        <f>17*2.5</f>
        <v>42.5</v>
      </c>
      <c r="M98" s="81">
        <f t="shared" si="6"/>
        <v>72.5</v>
      </c>
    </row>
    <row r="99" spans="1:13" x14ac:dyDescent="0.3">
      <c r="A99">
        <v>14</v>
      </c>
      <c r="B99" t="s">
        <v>140</v>
      </c>
      <c r="C99">
        <f>3*2.5</f>
        <v>7.5</v>
      </c>
      <c r="E99">
        <v>14</v>
      </c>
      <c r="F99" t="s">
        <v>140</v>
      </c>
      <c r="G99">
        <f>3*2.5</f>
        <v>7.5</v>
      </c>
      <c r="I99">
        <v>9</v>
      </c>
      <c r="J99" t="s">
        <v>140</v>
      </c>
      <c r="K99">
        <f>8*2.5</f>
        <v>20</v>
      </c>
      <c r="M99" s="81">
        <f t="shared" si="6"/>
        <v>35</v>
      </c>
    </row>
    <row r="100" spans="1:13" x14ac:dyDescent="0.3">
      <c r="A100">
        <v>6</v>
      </c>
      <c r="B100" t="s">
        <v>100</v>
      </c>
      <c r="C100">
        <f>11*2.5</f>
        <v>27.5</v>
      </c>
      <c r="I100">
        <v>1</v>
      </c>
      <c r="J100" t="s">
        <v>100</v>
      </c>
      <c r="K100">
        <f>20*2.5</f>
        <v>50</v>
      </c>
      <c r="M100" s="81">
        <f t="shared" si="6"/>
        <v>77.5</v>
      </c>
    </row>
    <row r="101" spans="1:13" x14ac:dyDescent="0.3">
      <c r="A101">
        <v>12</v>
      </c>
      <c r="B101" t="s">
        <v>90</v>
      </c>
      <c r="C101">
        <f>5*2.5</f>
        <v>12.5</v>
      </c>
      <c r="M101" s="81">
        <f t="shared" si="6"/>
        <v>12.5</v>
      </c>
    </row>
    <row r="102" spans="1:13" x14ac:dyDescent="0.3">
      <c r="A102">
        <v>3</v>
      </c>
      <c r="B102" t="s">
        <v>112</v>
      </c>
      <c r="C102">
        <f>15*2.5</f>
        <v>37.5</v>
      </c>
      <c r="E102">
        <v>2</v>
      </c>
      <c r="F102" t="s">
        <v>112</v>
      </c>
      <c r="G102">
        <f>17*2.5</f>
        <v>42.5</v>
      </c>
      <c r="I102">
        <v>12</v>
      </c>
      <c r="J102" t="s">
        <v>112</v>
      </c>
      <c r="K102">
        <f>5*2.5</f>
        <v>12.5</v>
      </c>
      <c r="M102" s="81">
        <f t="shared" si="6"/>
        <v>92.5</v>
      </c>
    </row>
    <row r="103" spans="1:13" x14ac:dyDescent="0.3">
      <c r="I103">
        <v>15</v>
      </c>
      <c r="J103" t="s">
        <v>106</v>
      </c>
      <c r="K103">
        <f>2*2.5</f>
        <v>5</v>
      </c>
      <c r="M103" s="81">
        <f t="shared" si="6"/>
        <v>5</v>
      </c>
    </row>
    <row r="104" spans="1:13" x14ac:dyDescent="0.3">
      <c r="A104" s="74" t="s">
        <v>180</v>
      </c>
    </row>
    <row r="105" spans="1:13" s="74" customFormat="1" x14ac:dyDescent="0.3">
      <c r="B105" s="74">
        <v>130</v>
      </c>
      <c r="C105" s="74" t="s">
        <v>141</v>
      </c>
      <c r="F105" s="74">
        <v>135</v>
      </c>
      <c r="G105" s="74" t="s">
        <v>141</v>
      </c>
      <c r="J105" s="74">
        <v>140</v>
      </c>
      <c r="K105" s="74" t="s">
        <v>141</v>
      </c>
      <c r="M105" s="74" t="s">
        <v>50</v>
      </c>
    </row>
    <row r="106" spans="1:13" x14ac:dyDescent="0.3">
      <c r="A106">
        <v>10</v>
      </c>
      <c r="B106" t="s">
        <v>103</v>
      </c>
      <c r="C106">
        <v>7</v>
      </c>
      <c r="E106">
        <v>3</v>
      </c>
      <c r="F106" t="s">
        <v>103</v>
      </c>
      <c r="G106">
        <v>15</v>
      </c>
      <c r="I106">
        <v>2</v>
      </c>
      <c r="J106" t="s">
        <v>103</v>
      </c>
      <c r="K106">
        <v>17</v>
      </c>
      <c r="M106" s="76">
        <f>C106+G106+K106</f>
        <v>39</v>
      </c>
    </row>
    <row r="107" spans="1:13" x14ac:dyDescent="0.3">
      <c r="E107">
        <v>8</v>
      </c>
      <c r="F107" t="s">
        <v>181</v>
      </c>
      <c r="G107">
        <v>9</v>
      </c>
      <c r="I107">
        <v>14</v>
      </c>
      <c r="J107" t="s">
        <v>181</v>
      </c>
      <c r="K107">
        <v>3</v>
      </c>
      <c r="M107" s="76">
        <f t="shared" ref="M107:M114" si="7">C107+G107+K107</f>
        <v>12</v>
      </c>
    </row>
    <row r="108" spans="1:13" x14ac:dyDescent="0.3">
      <c r="A108">
        <v>6</v>
      </c>
      <c r="B108" t="s">
        <v>102</v>
      </c>
      <c r="C108">
        <v>11</v>
      </c>
      <c r="E108">
        <v>9</v>
      </c>
      <c r="F108" t="s">
        <v>102</v>
      </c>
      <c r="G108">
        <v>8</v>
      </c>
      <c r="I108">
        <v>10</v>
      </c>
      <c r="J108" t="s">
        <v>102</v>
      </c>
      <c r="K108">
        <v>7</v>
      </c>
      <c r="M108" s="76">
        <f t="shared" si="7"/>
        <v>26</v>
      </c>
    </row>
    <row r="109" spans="1:13" x14ac:dyDescent="0.3">
      <c r="A109">
        <v>1</v>
      </c>
      <c r="B109" t="s">
        <v>105</v>
      </c>
      <c r="C109">
        <v>20</v>
      </c>
      <c r="I109">
        <v>4</v>
      </c>
      <c r="J109" t="s">
        <v>105</v>
      </c>
      <c r="K109">
        <v>13</v>
      </c>
      <c r="M109" s="76">
        <f t="shared" si="7"/>
        <v>33</v>
      </c>
    </row>
    <row r="110" spans="1:13" x14ac:dyDescent="0.3">
      <c r="I110">
        <v>9</v>
      </c>
      <c r="J110" t="s">
        <v>101</v>
      </c>
      <c r="K110">
        <v>8</v>
      </c>
      <c r="M110" s="76">
        <f t="shared" si="7"/>
        <v>8</v>
      </c>
    </row>
    <row r="111" spans="1:13" x14ac:dyDescent="0.3">
      <c r="A111">
        <v>12</v>
      </c>
      <c r="B111" t="s">
        <v>108</v>
      </c>
      <c r="C111">
        <v>5</v>
      </c>
      <c r="I111">
        <v>12</v>
      </c>
      <c r="J111" t="s">
        <v>108</v>
      </c>
      <c r="K111">
        <v>5</v>
      </c>
      <c r="M111" s="76">
        <f t="shared" si="7"/>
        <v>10</v>
      </c>
    </row>
    <row r="112" spans="1:13" x14ac:dyDescent="0.3">
      <c r="A112">
        <v>3</v>
      </c>
      <c r="B112" t="s">
        <v>112</v>
      </c>
      <c r="C112">
        <v>15</v>
      </c>
      <c r="E112">
        <v>7</v>
      </c>
      <c r="F112" t="s">
        <v>112</v>
      </c>
      <c r="G112">
        <v>10</v>
      </c>
      <c r="I112">
        <v>11</v>
      </c>
      <c r="J112" t="s">
        <v>112</v>
      </c>
      <c r="K112">
        <v>6</v>
      </c>
      <c r="M112" s="76">
        <f t="shared" si="7"/>
        <v>31</v>
      </c>
    </row>
    <row r="113" spans="1:13" x14ac:dyDescent="0.3">
      <c r="A113">
        <v>9</v>
      </c>
      <c r="B113" t="s">
        <v>116</v>
      </c>
      <c r="C113">
        <v>8</v>
      </c>
      <c r="M113" s="76">
        <f t="shared" si="7"/>
        <v>8</v>
      </c>
    </row>
    <row r="114" spans="1:13" x14ac:dyDescent="0.3">
      <c r="E114">
        <v>12</v>
      </c>
      <c r="F114" t="s">
        <v>136</v>
      </c>
      <c r="G114">
        <v>5</v>
      </c>
      <c r="M114" s="76">
        <f t="shared" si="7"/>
        <v>5</v>
      </c>
    </row>
    <row r="116" spans="1:13" x14ac:dyDescent="0.3">
      <c r="A116" s="74" t="s">
        <v>180</v>
      </c>
    </row>
    <row r="117" spans="1:13" s="74" customFormat="1" x14ac:dyDescent="0.3">
      <c r="B117" s="74">
        <v>135</v>
      </c>
      <c r="C117" s="74" t="s">
        <v>141</v>
      </c>
      <c r="F117" s="74">
        <v>135</v>
      </c>
      <c r="G117" s="74" t="s">
        <v>141</v>
      </c>
      <c r="J117" s="74">
        <v>140</v>
      </c>
      <c r="K117" s="74" t="s">
        <v>141</v>
      </c>
      <c r="M117" s="81" t="s">
        <v>50</v>
      </c>
    </row>
    <row r="118" spans="1:13" x14ac:dyDescent="0.3">
      <c r="A118">
        <v>1</v>
      </c>
      <c r="B118" t="s">
        <v>104</v>
      </c>
      <c r="C118">
        <f>20*2.5</f>
        <v>50</v>
      </c>
      <c r="I118">
        <v>14</v>
      </c>
      <c r="J118" t="s">
        <v>104</v>
      </c>
      <c r="K118">
        <f>3*2.5</f>
        <v>7.5</v>
      </c>
      <c r="M118" s="81">
        <f>C118+G118+K118</f>
        <v>57.5</v>
      </c>
    </row>
    <row r="119" spans="1:13" x14ac:dyDescent="0.3">
      <c r="A119">
        <v>15</v>
      </c>
      <c r="B119" t="s">
        <v>103</v>
      </c>
      <c r="C119">
        <f>2*2.5</f>
        <v>5</v>
      </c>
      <c r="E119">
        <v>8</v>
      </c>
      <c r="F119" t="s">
        <v>103</v>
      </c>
      <c r="G119">
        <f>9*2.5</f>
        <v>22.5</v>
      </c>
      <c r="I119">
        <v>16</v>
      </c>
      <c r="J119" t="s">
        <v>103</v>
      </c>
      <c r="K119">
        <f>1*2.5</f>
        <v>2.5</v>
      </c>
      <c r="M119" s="81">
        <f t="shared" ref="M119:M128" si="8">C119+G119+K119</f>
        <v>30</v>
      </c>
    </row>
    <row r="120" spans="1:13" x14ac:dyDescent="0.3">
      <c r="A120">
        <v>16</v>
      </c>
      <c r="B120" t="s">
        <v>86</v>
      </c>
      <c r="C120">
        <f>1*2.5</f>
        <v>2.5</v>
      </c>
      <c r="M120" s="81">
        <f t="shared" si="8"/>
        <v>2.5</v>
      </c>
    </row>
    <row r="121" spans="1:13" x14ac:dyDescent="0.3">
      <c r="A121">
        <v>10</v>
      </c>
      <c r="B121" t="s">
        <v>102</v>
      </c>
      <c r="C121">
        <f>7*2.5</f>
        <v>17.5</v>
      </c>
      <c r="E121">
        <v>12</v>
      </c>
      <c r="F121" t="s">
        <v>102</v>
      </c>
      <c r="G121">
        <f>5*2.5</f>
        <v>12.5</v>
      </c>
      <c r="I121">
        <v>12</v>
      </c>
      <c r="J121" t="s">
        <v>102</v>
      </c>
      <c r="K121">
        <f>5*2.5</f>
        <v>12.5</v>
      </c>
      <c r="M121" s="81">
        <f t="shared" si="8"/>
        <v>42.5</v>
      </c>
    </row>
    <row r="122" spans="1:13" x14ac:dyDescent="0.3">
      <c r="A122">
        <v>7</v>
      </c>
      <c r="B122" t="s">
        <v>105</v>
      </c>
      <c r="C122">
        <f>10*2.5</f>
        <v>25</v>
      </c>
      <c r="E122">
        <v>2</v>
      </c>
      <c r="F122" t="s">
        <v>105</v>
      </c>
      <c r="G122">
        <f>17*2.5</f>
        <v>42.5</v>
      </c>
      <c r="I122">
        <v>8</v>
      </c>
      <c r="J122" t="s">
        <v>105</v>
      </c>
      <c r="K122">
        <f>9*2.5</f>
        <v>22.5</v>
      </c>
      <c r="M122" s="81">
        <f t="shared" si="8"/>
        <v>90</v>
      </c>
    </row>
    <row r="123" spans="1:13" x14ac:dyDescent="0.3">
      <c r="I123">
        <v>2</v>
      </c>
      <c r="J123" t="s">
        <v>101</v>
      </c>
      <c r="K123">
        <f>17*2.5</f>
        <v>42.5</v>
      </c>
      <c r="M123" s="81">
        <f t="shared" si="8"/>
        <v>42.5</v>
      </c>
    </row>
    <row r="124" spans="1:13" x14ac:dyDescent="0.3">
      <c r="A124">
        <v>14</v>
      </c>
      <c r="B124" t="s">
        <v>140</v>
      </c>
      <c r="C124">
        <f>3*2.5</f>
        <v>7.5</v>
      </c>
      <c r="I124">
        <v>7</v>
      </c>
      <c r="J124" t="s">
        <v>140</v>
      </c>
      <c r="K124">
        <f>10*2.5</f>
        <v>25</v>
      </c>
      <c r="M124" s="81">
        <f t="shared" si="8"/>
        <v>32.5</v>
      </c>
    </row>
    <row r="125" spans="1:13" x14ac:dyDescent="0.3">
      <c r="A125">
        <v>6</v>
      </c>
      <c r="B125" t="s">
        <v>100</v>
      </c>
      <c r="C125">
        <f>11*2.5</f>
        <v>27.5</v>
      </c>
      <c r="E125">
        <v>1</v>
      </c>
      <c r="F125" t="s">
        <v>100</v>
      </c>
      <c r="G125">
        <f>20*2.5</f>
        <v>50</v>
      </c>
      <c r="I125">
        <v>1</v>
      </c>
      <c r="J125" t="s">
        <v>100</v>
      </c>
      <c r="K125">
        <f>20*2.5</f>
        <v>50</v>
      </c>
      <c r="M125" s="81">
        <f t="shared" si="8"/>
        <v>127.5</v>
      </c>
    </row>
    <row r="126" spans="1:13" x14ac:dyDescent="0.3">
      <c r="A126">
        <v>3</v>
      </c>
      <c r="B126" t="s">
        <v>90</v>
      </c>
      <c r="C126">
        <f>15*2.5</f>
        <v>37.5</v>
      </c>
      <c r="E126">
        <v>6</v>
      </c>
      <c r="F126" t="s">
        <v>90</v>
      </c>
      <c r="G126">
        <f>11*2.5</f>
        <v>27.5</v>
      </c>
      <c r="I126">
        <v>3</v>
      </c>
      <c r="J126" t="s">
        <v>90</v>
      </c>
      <c r="K126">
        <f>15*2.5</f>
        <v>37.5</v>
      </c>
      <c r="M126" s="81">
        <f t="shared" si="8"/>
        <v>102.5</v>
      </c>
    </row>
    <row r="127" spans="1:13" x14ac:dyDescent="0.3">
      <c r="A127">
        <v>8</v>
      </c>
      <c r="B127" t="s">
        <v>112</v>
      </c>
      <c r="C127">
        <f>9*2.5</f>
        <v>22.5</v>
      </c>
      <c r="I127">
        <v>5</v>
      </c>
      <c r="J127" t="s">
        <v>112</v>
      </c>
      <c r="K127">
        <f>12*2.5</f>
        <v>30</v>
      </c>
      <c r="M127" s="81">
        <f t="shared" si="8"/>
        <v>52.5</v>
      </c>
    </row>
    <row r="128" spans="1:13" x14ac:dyDescent="0.3">
      <c r="E128">
        <v>14</v>
      </c>
      <c r="F128" t="s">
        <v>108</v>
      </c>
      <c r="G128">
        <f>3*2.5</f>
        <v>7.5</v>
      </c>
      <c r="M128" s="81">
        <f t="shared" si="8"/>
        <v>7.5</v>
      </c>
    </row>
    <row r="130" spans="1:13" x14ac:dyDescent="0.3">
      <c r="A130" s="74" t="s">
        <v>185</v>
      </c>
    </row>
    <row r="131" spans="1:13" s="74" customFormat="1" x14ac:dyDescent="0.3">
      <c r="B131" s="74">
        <v>130</v>
      </c>
      <c r="C131" s="74" t="s">
        <v>141</v>
      </c>
      <c r="F131" s="74">
        <v>135</v>
      </c>
      <c r="G131" s="74" t="s">
        <v>141</v>
      </c>
      <c r="J131" s="74">
        <v>140</v>
      </c>
      <c r="K131" s="74" t="s">
        <v>141</v>
      </c>
      <c r="M131" s="81" t="s">
        <v>50</v>
      </c>
    </row>
    <row r="132" spans="1:13" x14ac:dyDescent="0.3">
      <c r="E132">
        <v>10</v>
      </c>
      <c r="F132" t="s">
        <v>187</v>
      </c>
      <c r="G132">
        <f>7*2.5</f>
        <v>17.5</v>
      </c>
      <c r="I132">
        <v>16</v>
      </c>
      <c r="J132" t="s">
        <v>187</v>
      </c>
      <c r="K132">
        <f>1*2.5</f>
        <v>2.5</v>
      </c>
      <c r="M132" s="81">
        <f>C132+G132+K132</f>
        <v>20</v>
      </c>
    </row>
    <row r="133" spans="1:13" x14ac:dyDescent="0.3">
      <c r="A133">
        <v>14</v>
      </c>
      <c r="B133" t="s">
        <v>103</v>
      </c>
      <c r="C133">
        <f>3*2.5</f>
        <v>7.5</v>
      </c>
      <c r="E133">
        <v>9</v>
      </c>
      <c r="F133" t="s">
        <v>103</v>
      </c>
      <c r="G133">
        <f>8*2.5</f>
        <v>20</v>
      </c>
      <c r="I133">
        <v>12</v>
      </c>
      <c r="J133" t="s">
        <v>103</v>
      </c>
      <c r="K133">
        <f>5*2.5</f>
        <v>12.5</v>
      </c>
      <c r="M133" s="81">
        <f t="shared" ref="M133:M140" si="9">C133+G133+K133</f>
        <v>40</v>
      </c>
    </row>
    <row r="134" spans="1:13" x14ac:dyDescent="0.3">
      <c r="A134">
        <v>11</v>
      </c>
      <c r="B134" t="s">
        <v>135</v>
      </c>
      <c r="C134">
        <f>6*2.5</f>
        <v>15</v>
      </c>
      <c r="E134">
        <v>8</v>
      </c>
      <c r="F134" t="s">
        <v>135</v>
      </c>
      <c r="G134">
        <f>9*2.5</f>
        <v>22.5</v>
      </c>
      <c r="I134">
        <v>8</v>
      </c>
      <c r="J134" t="s">
        <v>135</v>
      </c>
      <c r="K134">
        <f>9*2.5</f>
        <v>22.5</v>
      </c>
      <c r="M134" s="81">
        <f t="shared" si="9"/>
        <v>60</v>
      </c>
    </row>
    <row r="135" spans="1:13" x14ac:dyDescent="0.3">
      <c r="A135">
        <v>1</v>
      </c>
      <c r="B135" t="s">
        <v>102</v>
      </c>
      <c r="C135">
        <f>20*2.5</f>
        <v>50</v>
      </c>
      <c r="E135">
        <v>1</v>
      </c>
      <c r="F135" t="s">
        <v>102</v>
      </c>
      <c r="G135">
        <f>20*2.5</f>
        <v>50</v>
      </c>
      <c r="I135">
        <v>13</v>
      </c>
      <c r="J135" t="s">
        <v>102</v>
      </c>
      <c r="K135">
        <f>4*2.5</f>
        <v>10</v>
      </c>
      <c r="M135" s="81">
        <f t="shared" si="9"/>
        <v>110</v>
      </c>
    </row>
    <row r="136" spans="1:13" x14ac:dyDescent="0.3">
      <c r="E136">
        <v>14</v>
      </c>
      <c r="F136" t="s">
        <v>136</v>
      </c>
      <c r="G136">
        <f>3*2.5</f>
        <v>7.5</v>
      </c>
      <c r="M136" s="81">
        <f t="shared" si="9"/>
        <v>7.5</v>
      </c>
    </row>
    <row r="137" spans="1:13" x14ac:dyDescent="0.3">
      <c r="A137">
        <v>13</v>
      </c>
      <c r="B137" t="s">
        <v>101</v>
      </c>
      <c r="C137">
        <f>4*2.5</f>
        <v>10</v>
      </c>
      <c r="E137">
        <v>5</v>
      </c>
      <c r="F137" t="s">
        <v>101</v>
      </c>
      <c r="G137">
        <f>12*2.5</f>
        <v>30</v>
      </c>
      <c r="I137">
        <v>2</v>
      </c>
      <c r="J137" t="s">
        <v>101</v>
      </c>
      <c r="K137">
        <f>17*2.5</f>
        <v>42.5</v>
      </c>
      <c r="M137" s="81">
        <f t="shared" si="9"/>
        <v>82.5</v>
      </c>
    </row>
    <row r="138" spans="1:13" x14ac:dyDescent="0.3">
      <c r="A138">
        <v>3</v>
      </c>
      <c r="B138" t="s">
        <v>140</v>
      </c>
      <c r="C138">
        <f>15*2.5</f>
        <v>37.5</v>
      </c>
      <c r="E138">
        <v>4</v>
      </c>
      <c r="F138" t="s">
        <v>140</v>
      </c>
      <c r="G138">
        <f>13*2.5</f>
        <v>32.5</v>
      </c>
      <c r="I138">
        <v>5</v>
      </c>
      <c r="J138" t="s">
        <v>140</v>
      </c>
      <c r="K138">
        <f>12*2.5</f>
        <v>30</v>
      </c>
      <c r="M138" s="81">
        <f t="shared" si="9"/>
        <v>100</v>
      </c>
    </row>
    <row r="139" spans="1:13" x14ac:dyDescent="0.3">
      <c r="E139">
        <v>2</v>
      </c>
      <c r="F139" t="s">
        <v>100</v>
      </c>
      <c r="G139">
        <f>17*2.5</f>
        <v>42.5</v>
      </c>
      <c r="I139">
        <v>1</v>
      </c>
      <c r="J139" t="s">
        <v>100</v>
      </c>
      <c r="K139">
        <f>20*2.5</f>
        <v>50</v>
      </c>
      <c r="M139" s="81">
        <f t="shared" si="9"/>
        <v>92.5</v>
      </c>
    </row>
    <row r="140" spans="1:13" x14ac:dyDescent="0.3">
      <c r="A140">
        <v>9</v>
      </c>
      <c r="B140" t="s">
        <v>90</v>
      </c>
      <c r="C140">
        <f>8*2.5</f>
        <v>20</v>
      </c>
      <c r="E140">
        <v>15</v>
      </c>
      <c r="F140" t="s">
        <v>90</v>
      </c>
      <c r="G140">
        <f>2*2.5</f>
        <v>5</v>
      </c>
      <c r="I140">
        <v>11</v>
      </c>
      <c r="J140" t="s">
        <v>90</v>
      </c>
      <c r="K140">
        <f>6*2.5</f>
        <v>15</v>
      </c>
      <c r="M140" s="81">
        <f t="shared" si="9"/>
        <v>40</v>
      </c>
    </row>
    <row r="142" spans="1:13" x14ac:dyDescent="0.3">
      <c r="A142" s="74" t="s">
        <v>188</v>
      </c>
    </row>
    <row r="143" spans="1:13" x14ac:dyDescent="0.3">
      <c r="B143" s="74">
        <v>135</v>
      </c>
      <c r="C143" s="74" t="s">
        <v>141</v>
      </c>
    </row>
    <row r="144" spans="1:13" x14ac:dyDescent="0.3">
      <c r="A144">
        <v>10</v>
      </c>
      <c r="B144" t="s">
        <v>80</v>
      </c>
      <c r="C144" s="74">
        <f>2*2.5</f>
        <v>5</v>
      </c>
    </row>
    <row r="145" spans="1:21" x14ac:dyDescent="0.3">
      <c r="A145">
        <v>7</v>
      </c>
      <c r="B145" t="s">
        <v>107</v>
      </c>
      <c r="C145" s="74">
        <f>5*2.5</f>
        <v>12.5</v>
      </c>
    </row>
    <row r="146" spans="1:21" x14ac:dyDescent="0.3">
      <c r="A146">
        <v>9</v>
      </c>
      <c r="B146" t="s">
        <v>191</v>
      </c>
      <c r="C146" s="74">
        <f>3*2.5</f>
        <v>7.5</v>
      </c>
    </row>
    <row r="147" spans="1:21" x14ac:dyDescent="0.3">
      <c r="A147">
        <v>8</v>
      </c>
      <c r="B147" t="s">
        <v>86</v>
      </c>
      <c r="C147" s="74">
        <f>4*2.5</f>
        <v>10</v>
      </c>
    </row>
    <row r="148" spans="1:21" x14ac:dyDescent="0.3">
      <c r="A148">
        <v>3</v>
      </c>
      <c r="B148" t="s">
        <v>190</v>
      </c>
      <c r="C148" s="74">
        <f>10*2.5</f>
        <v>25</v>
      </c>
    </row>
    <row r="149" spans="1:21" x14ac:dyDescent="0.3">
      <c r="A149">
        <v>6</v>
      </c>
      <c r="B149" t="s">
        <v>119</v>
      </c>
      <c r="C149" s="74">
        <f>6*2.5</f>
        <v>15</v>
      </c>
    </row>
    <row r="150" spans="1:21" x14ac:dyDescent="0.3">
      <c r="A150">
        <v>5</v>
      </c>
      <c r="B150" t="s">
        <v>89</v>
      </c>
      <c r="C150" s="74">
        <f>7*2.5</f>
        <v>17.5</v>
      </c>
    </row>
    <row r="151" spans="1:21" x14ac:dyDescent="0.3">
      <c r="A151">
        <v>1</v>
      </c>
      <c r="B151" t="s">
        <v>114</v>
      </c>
      <c r="C151" s="74">
        <f>15*2.5</f>
        <v>37.5</v>
      </c>
    </row>
    <row r="152" spans="1:21" x14ac:dyDescent="0.3">
      <c r="A152">
        <v>4</v>
      </c>
      <c r="B152" t="s">
        <v>118</v>
      </c>
      <c r="C152" s="74">
        <f>8*2.5</f>
        <v>20</v>
      </c>
    </row>
    <row r="153" spans="1:21" x14ac:dyDescent="0.3">
      <c r="A153">
        <v>2</v>
      </c>
      <c r="B153" t="s">
        <v>106</v>
      </c>
      <c r="C153" s="74">
        <f>12*2.5</f>
        <v>30</v>
      </c>
    </row>
    <row r="155" spans="1:21" x14ac:dyDescent="0.3">
      <c r="A155" s="74" t="s">
        <v>192</v>
      </c>
    </row>
    <row r="156" spans="1:21" x14ac:dyDescent="0.3">
      <c r="B156" s="74">
        <v>130</v>
      </c>
      <c r="C156" s="74" t="s">
        <v>141</v>
      </c>
    </row>
    <row r="157" spans="1:21" x14ac:dyDescent="0.3">
      <c r="A157">
        <v>2</v>
      </c>
      <c r="B157" t="s">
        <v>103</v>
      </c>
      <c r="C157">
        <f>5*2.5</f>
        <v>12.5</v>
      </c>
    </row>
    <row r="159" spans="1:21" x14ac:dyDescent="0.3">
      <c r="A159" s="74" t="s">
        <v>194</v>
      </c>
    </row>
    <row r="160" spans="1:21" s="74" customFormat="1" x14ac:dyDescent="0.3">
      <c r="B160" s="74">
        <v>135</v>
      </c>
      <c r="C160" s="74">
        <v>2.5</v>
      </c>
      <c r="F160" s="74">
        <v>130</v>
      </c>
      <c r="G160" s="74">
        <v>2.5</v>
      </c>
      <c r="J160" s="74">
        <v>140</v>
      </c>
      <c r="K160" s="74">
        <v>2.5</v>
      </c>
      <c r="N160" s="74">
        <v>135</v>
      </c>
      <c r="O160" s="74">
        <v>2.5</v>
      </c>
      <c r="R160" s="74">
        <v>145</v>
      </c>
      <c r="S160" s="74">
        <v>3</v>
      </c>
      <c r="U160" s="103" t="s">
        <v>50</v>
      </c>
    </row>
    <row r="161" spans="1:21" x14ac:dyDescent="0.3">
      <c r="A161">
        <v>7</v>
      </c>
      <c r="B161" t="s">
        <v>103</v>
      </c>
      <c r="C161">
        <f>10*2.5</f>
        <v>25</v>
      </c>
      <c r="E161">
        <v>11</v>
      </c>
      <c r="F161" t="s">
        <v>103</v>
      </c>
      <c r="G161">
        <f>6*2.5</f>
        <v>15</v>
      </c>
      <c r="I161">
        <v>14</v>
      </c>
      <c r="J161" t="s">
        <v>103</v>
      </c>
      <c r="K161">
        <f>3*2.5</f>
        <v>7.5</v>
      </c>
      <c r="Q161">
        <v>7</v>
      </c>
      <c r="R161" t="s">
        <v>103</v>
      </c>
      <c r="S161">
        <f>7*3</f>
        <v>21</v>
      </c>
      <c r="U161" s="103">
        <f>C161+G161+K161+O161+S161</f>
        <v>68.5</v>
      </c>
    </row>
    <row r="162" spans="1:21" x14ac:dyDescent="0.3">
      <c r="A162">
        <v>10</v>
      </c>
      <c r="B162" t="s">
        <v>102</v>
      </c>
      <c r="C162">
        <f>7*2.5</f>
        <v>17.5</v>
      </c>
      <c r="I162">
        <v>5</v>
      </c>
      <c r="J162" t="s">
        <v>102</v>
      </c>
      <c r="K162">
        <f>12*2.5</f>
        <v>30</v>
      </c>
      <c r="Q162">
        <v>12</v>
      </c>
      <c r="R162" t="s">
        <v>102</v>
      </c>
      <c r="S162">
        <f>2*3</f>
        <v>6</v>
      </c>
      <c r="U162" s="103">
        <f t="shared" ref="U162:U175" si="10">C162+G162+K162+O162+S162</f>
        <v>53.5</v>
      </c>
    </row>
    <row r="163" spans="1:21" x14ac:dyDescent="0.3">
      <c r="A163">
        <v>8</v>
      </c>
      <c r="B163" t="s">
        <v>136</v>
      </c>
      <c r="C163">
        <f>9*2.5</f>
        <v>22.5</v>
      </c>
      <c r="E163">
        <v>15</v>
      </c>
      <c r="F163" t="s">
        <v>136</v>
      </c>
      <c r="G163">
        <f>2*2.5</f>
        <v>5</v>
      </c>
      <c r="I163">
        <v>8</v>
      </c>
      <c r="J163" t="s">
        <v>136</v>
      </c>
      <c r="K163">
        <f>9*2.5</f>
        <v>22.5</v>
      </c>
      <c r="M163">
        <v>16</v>
      </c>
      <c r="N163" t="s">
        <v>136</v>
      </c>
      <c r="O163">
        <f>1*2.5</f>
        <v>2.5</v>
      </c>
      <c r="R163" t="s">
        <v>136</v>
      </c>
      <c r="U163" s="103">
        <f t="shared" si="10"/>
        <v>52.5</v>
      </c>
    </row>
    <row r="164" spans="1:21" x14ac:dyDescent="0.3">
      <c r="A164">
        <v>2</v>
      </c>
      <c r="B164" t="s">
        <v>105</v>
      </c>
      <c r="C164">
        <f>17*2.5</f>
        <v>42.5</v>
      </c>
      <c r="I164">
        <v>1</v>
      </c>
      <c r="J164" t="s">
        <v>105</v>
      </c>
      <c r="K164">
        <f>20*2.5</f>
        <v>50</v>
      </c>
      <c r="Q164">
        <v>2</v>
      </c>
      <c r="R164" t="s">
        <v>105</v>
      </c>
      <c r="S164">
        <f>14*3</f>
        <v>42</v>
      </c>
      <c r="U164" s="103">
        <f t="shared" si="10"/>
        <v>134.5</v>
      </c>
    </row>
    <row r="165" spans="1:21" x14ac:dyDescent="0.3">
      <c r="A165">
        <v>1</v>
      </c>
      <c r="B165" t="s">
        <v>101</v>
      </c>
      <c r="C165">
        <f>20*2.5</f>
        <v>50</v>
      </c>
      <c r="E165">
        <v>10</v>
      </c>
      <c r="F165" t="s">
        <v>101</v>
      </c>
      <c r="G165">
        <f>7*2.5</f>
        <v>17.5</v>
      </c>
      <c r="I165">
        <v>3</v>
      </c>
      <c r="J165" t="s">
        <v>101</v>
      </c>
      <c r="K165">
        <f>15*2.5</f>
        <v>37.5</v>
      </c>
      <c r="Q165">
        <v>1</v>
      </c>
      <c r="R165" t="s">
        <v>101</v>
      </c>
      <c r="S165">
        <f>17*3</f>
        <v>51</v>
      </c>
      <c r="U165" s="103">
        <f t="shared" si="10"/>
        <v>156</v>
      </c>
    </row>
    <row r="166" spans="1:21" x14ac:dyDescent="0.3">
      <c r="I166">
        <v>4</v>
      </c>
      <c r="J166" t="s">
        <v>140</v>
      </c>
      <c r="K166">
        <f>13*2.5</f>
        <v>32.5</v>
      </c>
      <c r="M166">
        <v>3</v>
      </c>
      <c r="N166" t="s">
        <v>140</v>
      </c>
      <c r="O166">
        <f>15*2.5</f>
        <v>37.5</v>
      </c>
      <c r="Q166">
        <v>9</v>
      </c>
      <c r="R166" t="s">
        <v>140</v>
      </c>
      <c r="S166">
        <f>5*3</f>
        <v>15</v>
      </c>
      <c r="U166" s="103">
        <f t="shared" si="10"/>
        <v>85</v>
      </c>
    </row>
    <row r="167" spans="1:21" x14ac:dyDescent="0.3">
      <c r="A167">
        <v>3</v>
      </c>
      <c r="B167" t="s">
        <v>100</v>
      </c>
      <c r="C167">
        <f>15*2.5</f>
        <v>37.5</v>
      </c>
      <c r="I167">
        <v>2</v>
      </c>
      <c r="J167" t="s">
        <v>100</v>
      </c>
      <c r="K167">
        <f>17*2.5</f>
        <v>42.5</v>
      </c>
      <c r="M167">
        <v>1</v>
      </c>
      <c r="N167" t="s">
        <v>100</v>
      </c>
      <c r="O167">
        <f>20*2.5</f>
        <v>50</v>
      </c>
      <c r="Q167">
        <v>6</v>
      </c>
      <c r="R167" t="s">
        <v>100</v>
      </c>
      <c r="S167">
        <f>8*3</f>
        <v>24</v>
      </c>
      <c r="U167" s="103">
        <f t="shared" si="10"/>
        <v>154</v>
      </c>
    </row>
    <row r="168" spans="1:21" x14ac:dyDescent="0.3">
      <c r="A168">
        <v>15</v>
      </c>
      <c r="B168" t="s">
        <v>90</v>
      </c>
      <c r="C168">
        <f>2*2.5</f>
        <v>5</v>
      </c>
      <c r="E168">
        <v>3</v>
      </c>
      <c r="F168" t="s">
        <v>90</v>
      </c>
      <c r="G168">
        <f>15*2.5</f>
        <v>37.5</v>
      </c>
      <c r="M168">
        <v>11</v>
      </c>
      <c r="N168" t="s">
        <v>90</v>
      </c>
      <c r="O168">
        <f>6*2.5</f>
        <v>15</v>
      </c>
      <c r="Q168">
        <v>5</v>
      </c>
      <c r="R168" t="s">
        <v>90</v>
      </c>
      <c r="S168">
        <f>9*3</f>
        <v>27</v>
      </c>
      <c r="U168" s="103">
        <f t="shared" si="10"/>
        <v>84.5</v>
      </c>
    </row>
    <row r="169" spans="1:21" x14ac:dyDescent="0.3">
      <c r="E169">
        <v>6</v>
      </c>
      <c r="F169" t="s">
        <v>86</v>
      </c>
      <c r="G169">
        <f>11*2.5</f>
        <v>27.5</v>
      </c>
      <c r="R169" t="s">
        <v>86</v>
      </c>
      <c r="U169" s="103">
        <f t="shared" si="10"/>
        <v>27.5</v>
      </c>
    </row>
    <row r="170" spans="1:21" x14ac:dyDescent="0.3">
      <c r="E170">
        <v>5</v>
      </c>
      <c r="F170" t="s">
        <v>108</v>
      </c>
      <c r="G170">
        <f>12*2.5</f>
        <v>30</v>
      </c>
      <c r="M170">
        <v>9</v>
      </c>
      <c r="N170" t="s">
        <v>108</v>
      </c>
      <c r="O170">
        <f>8*2.5</f>
        <v>20</v>
      </c>
      <c r="R170" t="s">
        <v>108</v>
      </c>
      <c r="U170" s="103">
        <f t="shared" si="10"/>
        <v>50</v>
      </c>
    </row>
    <row r="171" spans="1:21" x14ac:dyDescent="0.3">
      <c r="A171">
        <v>4</v>
      </c>
      <c r="B171" t="s">
        <v>114</v>
      </c>
      <c r="C171">
        <f>13*2.5</f>
        <v>32.5</v>
      </c>
      <c r="E171">
        <v>7</v>
      </c>
      <c r="F171" t="s">
        <v>114</v>
      </c>
      <c r="G171">
        <f>10*2.5</f>
        <v>25</v>
      </c>
      <c r="M171">
        <v>8</v>
      </c>
      <c r="N171" t="s">
        <v>114</v>
      </c>
      <c r="O171">
        <f>9*2.5</f>
        <v>22.5</v>
      </c>
      <c r="R171" t="s">
        <v>114</v>
      </c>
      <c r="U171" s="103">
        <f t="shared" si="10"/>
        <v>80</v>
      </c>
    </row>
    <row r="172" spans="1:21" x14ac:dyDescent="0.3">
      <c r="E172">
        <v>4</v>
      </c>
      <c r="F172" t="s">
        <v>115</v>
      </c>
      <c r="G172">
        <f>13*2.5</f>
        <v>32.5</v>
      </c>
      <c r="R172" t="s">
        <v>115</v>
      </c>
      <c r="U172" s="103">
        <f t="shared" si="10"/>
        <v>32.5</v>
      </c>
    </row>
    <row r="173" spans="1:21" x14ac:dyDescent="0.3">
      <c r="E173">
        <v>12</v>
      </c>
      <c r="F173" t="s">
        <v>112</v>
      </c>
      <c r="G173">
        <f>5*2.5</f>
        <v>12.5</v>
      </c>
      <c r="M173">
        <v>13</v>
      </c>
      <c r="N173" t="s">
        <v>112</v>
      </c>
      <c r="O173">
        <f>4*2.5</f>
        <v>10</v>
      </c>
      <c r="R173" t="s">
        <v>112</v>
      </c>
      <c r="U173" s="103">
        <f t="shared" si="10"/>
        <v>22.5</v>
      </c>
    </row>
    <row r="174" spans="1:21" x14ac:dyDescent="0.3">
      <c r="E174">
        <v>8</v>
      </c>
      <c r="F174" t="s">
        <v>88</v>
      </c>
      <c r="G174">
        <f>9*2.5</f>
        <v>22.5</v>
      </c>
      <c r="M174">
        <v>15</v>
      </c>
      <c r="N174" t="s">
        <v>88</v>
      </c>
      <c r="O174">
        <f>2*2.5</f>
        <v>5</v>
      </c>
      <c r="R174" t="s">
        <v>88</v>
      </c>
      <c r="U174" s="103">
        <f t="shared" si="10"/>
        <v>27.5</v>
      </c>
    </row>
    <row r="175" spans="1:21" x14ac:dyDescent="0.3">
      <c r="E175">
        <v>9</v>
      </c>
      <c r="F175" t="s">
        <v>106</v>
      </c>
      <c r="G175">
        <f>8*2.5</f>
        <v>20</v>
      </c>
      <c r="M175">
        <v>5</v>
      </c>
      <c r="N175" t="s">
        <v>106</v>
      </c>
      <c r="O175">
        <f>12*2.5</f>
        <v>30</v>
      </c>
      <c r="R175" t="s">
        <v>106</v>
      </c>
      <c r="U175" s="103">
        <f t="shared" si="10"/>
        <v>50</v>
      </c>
    </row>
    <row r="177" spans="1:25" x14ac:dyDescent="0.3">
      <c r="A177" s="74" t="s">
        <v>196</v>
      </c>
    </row>
    <row r="178" spans="1:25" x14ac:dyDescent="0.3">
      <c r="B178">
        <v>130</v>
      </c>
      <c r="C178" t="s">
        <v>141</v>
      </c>
    </row>
    <row r="179" spans="1:25" x14ac:dyDescent="0.3">
      <c r="A179">
        <v>1</v>
      </c>
      <c r="B179" t="s">
        <v>198</v>
      </c>
      <c r="C179">
        <f>9*2.5</f>
        <v>22.5</v>
      </c>
    </row>
    <row r="180" spans="1:25" x14ac:dyDescent="0.3">
      <c r="A180">
        <v>2</v>
      </c>
      <c r="B180" t="s">
        <v>199</v>
      </c>
      <c r="C180">
        <f>6*2.5</f>
        <v>15</v>
      </c>
    </row>
    <row r="181" spans="1:25" x14ac:dyDescent="0.3">
      <c r="A181">
        <v>3</v>
      </c>
      <c r="B181" t="s">
        <v>82</v>
      </c>
      <c r="C181">
        <f>4*2.5</f>
        <v>10</v>
      </c>
    </row>
    <row r="182" spans="1:25" x14ac:dyDescent="0.3">
      <c r="A182">
        <v>5</v>
      </c>
      <c r="B182" t="s">
        <v>200</v>
      </c>
      <c r="C182">
        <f>1*2.5</f>
        <v>2.5</v>
      </c>
    </row>
    <row r="184" spans="1:25" x14ac:dyDescent="0.3">
      <c r="A184" s="74" t="s">
        <v>201</v>
      </c>
    </row>
    <row r="185" spans="1:25" s="74" customFormat="1" x14ac:dyDescent="0.3">
      <c r="B185" s="74">
        <v>130</v>
      </c>
      <c r="C185" s="74" t="s">
        <v>130</v>
      </c>
      <c r="F185" s="74">
        <v>140</v>
      </c>
      <c r="G185" s="74" t="s">
        <v>130</v>
      </c>
      <c r="J185" s="74">
        <v>130</v>
      </c>
      <c r="K185" s="74" t="s">
        <v>130</v>
      </c>
      <c r="N185" s="74">
        <v>140</v>
      </c>
      <c r="O185" s="74" t="s">
        <v>130</v>
      </c>
      <c r="R185" s="74">
        <v>135</v>
      </c>
      <c r="S185" s="74" t="s">
        <v>130</v>
      </c>
      <c r="V185" s="74">
        <v>145</v>
      </c>
      <c r="W185" s="74" t="s">
        <v>219</v>
      </c>
      <c r="Y185" s="76" t="s">
        <v>50</v>
      </c>
    </row>
    <row r="186" spans="1:25" x14ac:dyDescent="0.3">
      <c r="M186">
        <v>11</v>
      </c>
      <c r="N186" t="s">
        <v>216</v>
      </c>
      <c r="O186">
        <f>6*3.5</f>
        <v>21</v>
      </c>
      <c r="V186" t="s">
        <v>104</v>
      </c>
      <c r="Y186" s="76">
        <f>W186+S186+O186+K186+G186+C186</f>
        <v>21</v>
      </c>
    </row>
    <row r="187" spans="1:25" x14ac:dyDescent="0.3">
      <c r="A187">
        <v>2</v>
      </c>
      <c r="B187" t="s">
        <v>110</v>
      </c>
      <c r="C187">
        <f>10*3.5</f>
        <v>35</v>
      </c>
      <c r="E187">
        <v>1</v>
      </c>
      <c r="F187" t="s">
        <v>110</v>
      </c>
      <c r="G187">
        <f>20*3.5</f>
        <v>70</v>
      </c>
      <c r="I187">
        <v>9</v>
      </c>
      <c r="J187" t="s">
        <v>110</v>
      </c>
      <c r="K187">
        <f>1*3.5</f>
        <v>3.5</v>
      </c>
      <c r="M187">
        <v>2</v>
      </c>
      <c r="N187" t="s">
        <v>213</v>
      </c>
      <c r="O187">
        <f>17*3.5</f>
        <v>59.5</v>
      </c>
      <c r="Q187">
        <v>6</v>
      </c>
      <c r="R187" t="s">
        <v>213</v>
      </c>
      <c r="S187">
        <f>5*3.5</f>
        <v>17.5</v>
      </c>
      <c r="U187">
        <v>2</v>
      </c>
      <c r="V187" t="s">
        <v>213</v>
      </c>
      <c r="W187">
        <f>17*4</f>
        <v>68</v>
      </c>
      <c r="Y187" s="76">
        <f t="shared" ref="Y187:Y202" si="11">W187+S187+O187+K187+G187+C187</f>
        <v>253.5</v>
      </c>
    </row>
    <row r="188" spans="1:25" x14ac:dyDescent="0.3">
      <c r="E188">
        <v>16</v>
      </c>
      <c r="F188" t="s">
        <v>209</v>
      </c>
      <c r="G188">
        <f>1*3.5</f>
        <v>3.5</v>
      </c>
      <c r="M188">
        <v>14</v>
      </c>
      <c r="N188" t="s">
        <v>209</v>
      </c>
      <c r="O188">
        <f>3*3.5</f>
        <v>10.5</v>
      </c>
      <c r="U188">
        <v>11</v>
      </c>
      <c r="V188" t="s">
        <v>209</v>
      </c>
      <c r="W188">
        <f>6*4</f>
        <v>24</v>
      </c>
      <c r="Y188" s="76">
        <f t="shared" si="11"/>
        <v>38</v>
      </c>
    </row>
    <row r="189" spans="1:25" x14ac:dyDescent="0.3">
      <c r="M189">
        <v>16</v>
      </c>
      <c r="N189" t="s">
        <v>217</v>
      </c>
      <c r="O189">
        <f>1*3.5</f>
        <v>3.5</v>
      </c>
      <c r="V189" t="s">
        <v>107</v>
      </c>
      <c r="Y189" s="76">
        <f t="shared" si="11"/>
        <v>3.5</v>
      </c>
    </row>
    <row r="190" spans="1:25" x14ac:dyDescent="0.3">
      <c r="A190">
        <v>8</v>
      </c>
      <c r="B190" t="s">
        <v>102</v>
      </c>
      <c r="C190">
        <f>2*3.5</f>
        <v>7</v>
      </c>
      <c r="E190">
        <v>7</v>
      </c>
      <c r="F190" t="s">
        <v>102</v>
      </c>
      <c r="G190">
        <f>10*3.5</f>
        <v>35</v>
      </c>
      <c r="I190">
        <v>7</v>
      </c>
      <c r="J190" t="s">
        <v>102</v>
      </c>
      <c r="K190">
        <f>3*3.5</f>
        <v>10.5</v>
      </c>
      <c r="M190">
        <v>8</v>
      </c>
      <c r="N190" t="s">
        <v>212</v>
      </c>
      <c r="O190">
        <f>9*3.5</f>
        <v>31.5</v>
      </c>
      <c r="Q190">
        <v>1</v>
      </c>
      <c r="R190" t="s">
        <v>212</v>
      </c>
      <c r="S190">
        <f>14*3.5</f>
        <v>49</v>
      </c>
      <c r="U190">
        <v>10</v>
      </c>
      <c r="V190" t="s">
        <v>212</v>
      </c>
      <c r="W190">
        <f>7*4</f>
        <v>28</v>
      </c>
      <c r="Y190" s="76">
        <f t="shared" si="11"/>
        <v>161</v>
      </c>
    </row>
    <row r="191" spans="1:25" x14ac:dyDescent="0.3">
      <c r="E191">
        <v>5</v>
      </c>
      <c r="F191" t="s">
        <v>105</v>
      </c>
      <c r="G191">
        <f>12*3.5</f>
        <v>42</v>
      </c>
      <c r="M191">
        <v>1</v>
      </c>
      <c r="N191" t="s">
        <v>214</v>
      </c>
      <c r="O191">
        <f>20*3.5</f>
        <v>70</v>
      </c>
      <c r="U191">
        <v>7</v>
      </c>
      <c r="V191" t="s">
        <v>214</v>
      </c>
      <c r="W191">
        <f>10*4</f>
        <v>40</v>
      </c>
      <c r="Y191" s="76">
        <f t="shared" si="11"/>
        <v>152</v>
      </c>
    </row>
    <row r="192" spans="1:25" x14ac:dyDescent="0.3">
      <c r="A192">
        <v>1</v>
      </c>
      <c r="B192" t="s">
        <v>101</v>
      </c>
      <c r="C192">
        <f>13*3.5</f>
        <v>45.5</v>
      </c>
      <c r="E192">
        <v>2</v>
      </c>
      <c r="F192" t="s">
        <v>101</v>
      </c>
      <c r="G192">
        <f>17*3.5</f>
        <v>59.5</v>
      </c>
      <c r="I192">
        <v>1</v>
      </c>
      <c r="J192" t="s">
        <v>101</v>
      </c>
      <c r="K192">
        <f>13*3.5</f>
        <v>45.5</v>
      </c>
      <c r="M192">
        <v>5</v>
      </c>
      <c r="N192" t="s">
        <v>203</v>
      </c>
      <c r="O192">
        <f>12*3.5</f>
        <v>42</v>
      </c>
      <c r="U192">
        <v>8</v>
      </c>
      <c r="V192" t="s">
        <v>203</v>
      </c>
      <c r="W192">
        <f>9*4</f>
        <v>36</v>
      </c>
      <c r="Y192" s="76">
        <f t="shared" si="11"/>
        <v>228.5</v>
      </c>
    </row>
    <row r="193" spans="1:25" x14ac:dyDescent="0.3">
      <c r="E193">
        <v>12</v>
      </c>
      <c r="F193" t="s">
        <v>111</v>
      </c>
      <c r="G193">
        <f>5*3.5</f>
        <v>17.5</v>
      </c>
      <c r="M193">
        <v>4</v>
      </c>
      <c r="N193" t="s">
        <v>215</v>
      </c>
      <c r="O193">
        <f>13*3.5</f>
        <v>45.5</v>
      </c>
      <c r="U193">
        <v>16</v>
      </c>
      <c r="V193" t="s">
        <v>215</v>
      </c>
      <c r="W193">
        <f>1*4</f>
        <v>4</v>
      </c>
      <c r="Y193" s="76">
        <f t="shared" si="11"/>
        <v>67</v>
      </c>
    </row>
    <row r="194" spans="1:25" x14ac:dyDescent="0.3">
      <c r="E194">
        <v>6</v>
      </c>
      <c r="F194" t="s">
        <v>100</v>
      </c>
      <c r="G194">
        <f>11*3.5</f>
        <v>38.5</v>
      </c>
      <c r="M194">
        <v>3</v>
      </c>
      <c r="N194" t="s">
        <v>205</v>
      </c>
      <c r="O194">
        <f>15*3.5</f>
        <v>52.5</v>
      </c>
      <c r="U194">
        <v>1</v>
      </c>
      <c r="V194" t="s">
        <v>205</v>
      </c>
      <c r="W194">
        <f>20*4</f>
        <v>80</v>
      </c>
      <c r="Y194" s="76">
        <f t="shared" si="11"/>
        <v>171</v>
      </c>
    </row>
    <row r="195" spans="1:25" x14ac:dyDescent="0.3">
      <c r="E195">
        <v>9</v>
      </c>
      <c r="F195" t="s">
        <v>108</v>
      </c>
      <c r="G195">
        <f>8*3.5</f>
        <v>28</v>
      </c>
      <c r="M195">
        <v>9</v>
      </c>
      <c r="N195" t="s">
        <v>207</v>
      </c>
      <c r="O195">
        <f>8*3.5</f>
        <v>28</v>
      </c>
      <c r="U195">
        <v>3</v>
      </c>
      <c r="V195" t="s">
        <v>207</v>
      </c>
      <c r="W195">
        <f>15*4</f>
        <v>60</v>
      </c>
      <c r="Y195" s="76">
        <f t="shared" si="11"/>
        <v>116</v>
      </c>
    </row>
    <row r="196" spans="1:25" x14ac:dyDescent="0.3">
      <c r="E196">
        <v>8</v>
      </c>
      <c r="F196" t="s">
        <v>112</v>
      </c>
      <c r="G196">
        <f>9*3.5</f>
        <v>31.5</v>
      </c>
      <c r="M196">
        <v>12</v>
      </c>
      <c r="N196" t="s">
        <v>206</v>
      </c>
      <c r="O196">
        <f>5*3.5</f>
        <v>17.5</v>
      </c>
      <c r="U196">
        <v>6</v>
      </c>
      <c r="V196" t="s">
        <v>206</v>
      </c>
      <c r="W196">
        <f>11*4</f>
        <v>44</v>
      </c>
      <c r="Y196" s="76">
        <f t="shared" si="11"/>
        <v>93</v>
      </c>
    </row>
    <row r="197" spans="1:25" x14ac:dyDescent="0.3">
      <c r="E197">
        <v>14</v>
      </c>
      <c r="F197" t="s">
        <v>106</v>
      </c>
      <c r="G197">
        <f>3*3.5</f>
        <v>10.5</v>
      </c>
      <c r="M197">
        <v>15</v>
      </c>
      <c r="N197" t="s">
        <v>208</v>
      </c>
      <c r="O197">
        <f>2*3.5</f>
        <v>7</v>
      </c>
      <c r="U197">
        <v>14</v>
      </c>
      <c r="V197" t="s">
        <v>208</v>
      </c>
      <c r="W197">
        <f>3*4</f>
        <v>12</v>
      </c>
      <c r="Y197" s="76">
        <f t="shared" si="11"/>
        <v>29.5</v>
      </c>
    </row>
    <row r="198" spans="1:25" x14ac:dyDescent="0.3">
      <c r="A198">
        <v>5</v>
      </c>
      <c r="B198" t="s">
        <v>220</v>
      </c>
      <c r="C198">
        <f>5*3.5</f>
        <v>17.5</v>
      </c>
      <c r="I198">
        <v>5</v>
      </c>
      <c r="J198" t="s">
        <v>220</v>
      </c>
      <c r="K198">
        <f>5*3.5</f>
        <v>17.5</v>
      </c>
      <c r="O198" t="s">
        <v>218</v>
      </c>
      <c r="Q198">
        <v>7</v>
      </c>
      <c r="R198" t="s">
        <v>204</v>
      </c>
      <c r="S198">
        <f>4*3.5</f>
        <v>14</v>
      </c>
      <c r="V198" t="s">
        <v>220</v>
      </c>
      <c r="Y198" s="76">
        <f>S198+K198+C198</f>
        <v>49</v>
      </c>
    </row>
    <row r="199" spans="1:25" x14ac:dyDescent="0.3">
      <c r="A199">
        <v>6</v>
      </c>
      <c r="B199" t="s">
        <v>86</v>
      </c>
      <c r="C199">
        <f>4*3.5</f>
        <v>14</v>
      </c>
      <c r="O199" t="s">
        <v>218</v>
      </c>
      <c r="Q199">
        <v>2</v>
      </c>
      <c r="R199" t="s">
        <v>210</v>
      </c>
      <c r="S199">
        <f>11*3.5</f>
        <v>38.5</v>
      </c>
      <c r="V199" t="s">
        <v>86</v>
      </c>
      <c r="Y199" s="76">
        <f>S199+K199+C199</f>
        <v>52.5</v>
      </c>
    </row>
    <row r="200" spans="1:25" x14ac:dyDescent="0.3">
      <c r="A200">
        <v>3</v>
      </c>
      <c r="B200" t="s">
        <v>190</v>
      </c>
      <c r="C200">
        <f>8*3.5</f>
        <v>28</v>
      </c>
      <c r="I200">
        <v>3</v>
      </c>
      <c r="J200" t="s">
        <v>190</v>
      </c>
      <c r="K200">
        <f>8*3.5</f>
        <v>28</v>
      </c>
      <c r="V200" t="s">
        <v>190</v>
      </c>
      <c r="Y200" s="76">
        <f t="shared" si="11"/>
        <v>56</v>
      </c>
    </row>
    <row r="201" spans="1:25" x14ac:dyDescent="0.3">
      <c r="I201">
        <v>6</v>
      </c>
      <c r="J201" t="s">
        <v>118</v>
      </c>
      <c r="K201">
        <f>4*3.5</f>
        <v>14</v>
      </c>
      <c r="Q201">
        <v>9</v>
      </c>
      <c r="R201" t="s">
        <v>211</v>
      </c>
      <c r="S201">
        <f>2*3.5</f>
        <v>7</v>
      </c>
      <c r="V201" t="s">
        <v>118</v>
      </c>
      <c r="Y201" s="76">
        <f t="shared" si="11"/>
        <v>21</v>
      </c>
    </row>
    <row r="202" spans="1:25" x14ac:dyDescent="0.3">
      <c r="U202">
        <v>13</v>
      </c>
      <c r="V202" t="s">
        <v>119</v>
      </c>
      <c r="W202">
        <f>4*4</f>
        <v>16</v>
      </c>
      <c r="Y202" s="76">
        <f t="shared" si="11"/>
        <v>16</v>
      </c>
    </row>
    <row r="204" spans="1:25" x14ac:dyDescent="0.3">
      <c r="A204" s="74" t="s">
        <v>222</v>
      </c>
    </row>
    <row r="205" spans="1:25" s="74" customFormat="1" x14ac:dyDescent="0.3">
      <c r="A205" s="74" t="s">
        <v>144</v>
      </c>
      <c r="B205" s="74">
        <v>130</v>
      </c>
      <c r="C205" s="74" t="s">
        <v>130</v>
      </c>
      <c r="E205" s="74" t="s">
        <v>144</v>
      </c>
      <c r="F205" s="74">
        <v>130</v>
      </c>
      <c r="G205" s="74" t="s">
        <v>130</v>
      </c>
      <c r="I205" s="74" t="s">
        <v>144</v>
      </c>
      <c r="J205" s="74">
        <v>135</v>
      </c>
      <c r="K205" s="74" t="s">
        <v>130</v>
      </c>
      <c r="M205" s="81" t="s">
        <v>50</v>
      </c>
    </row>
    <row r="206" spans="1:25" x14ac:dyDescent="0.3">
      <c r="A206">
        <v>4</v>
      </c>
      <c r="B206" t="s">
        <v>221</v>
      </c>
      <c r="C206">
        <f>13*3.5</f>
        <v>45.5</v>
      </c>
      <c r="E206" s="105">
        <v>13</v>
      </c>
      <c r="F206" t="s">
        <v>221</v>
      </c>
      <c r="G206">
        <f>4*3.5</f>
        <v>14</v>
      </c>
      <c r="M206" s="81">
        <f>C206+G206+K206</f>
        <v>59.5</v>
      </c>
      <c r="U206" s="104"/>
    </row>
    <row r="207" spans="1:25" x14ac:dyDescent="0.3">
      <c r="A207">
        <v>6</v>
      </c>
      <c r="B207" t="s">
        <v>110</v>
      </c>
      <c r="C207">
        <f>11*3.5</f>
        <v>38.5</v>
      </c>
      <c r="M207" s="81">
        <f t="shared" ref="M207:M214" si="12">C207+G207+K207</f>
        <v>38.5</v>
      </c>
      <c r="U207" s="104"/>
    </row>
    <row r="208" spans="1:25" x14ac:dyDescent="0.3">
      <c r="A208">
        <v>8</v>
      </c>
      <c r="B208" t="s">
        <v>181</v>
      </c>
      <c r="C208">
        <f>9*3.5</f>
        <v>31.5</v>
      </c>
      <c r="I208" s="105">
        <v>9</v>
      </c>
      <c r="J208" t="s">
        <v>181</v>
      </c>
      <c r="K208">
        <f>3.5*8</f>
        <v>28</v>
      </c>
      <c r="M208" s="81">
        <f>C208+G208+K208+C232</f>
        <v>66.5</v>
      </c>
      <c r="U208" s="104"/>
    </row>
    <row r="209" spans="1:25" x14ac:dyDescent="0.3">
      <c r="A209">
        <v>14</v>
      </c>
      <c r="B209" t="s">
        <v>97</v>
      </c>
      <c r="C209">
        <f>3*3.5</f>
        <v>10.5</v>
      </c>
      <c r="E209" s="105">
        <v>12</v>
      </c>
      <c r="F209" t="s">
        <v>97</v>
      </c>
      <c r="G209">
        <f>5*3.5</f>
        <v>17.5</v>
      </c>
      <c r="M209" s="81">
        <f t="shared" si="12"/>
        <v>28</v>
      </c>
      <c r="U209" s="104"/>
    </row>
    <row r="210" spans="1:25" x14ac:dyDescent="0.3">
      <c r="A210">
        <v>3</v>
      </c>
      <c r="B210" t="s">
        <v>100</v>
      </c>
      <c r="C210">
        <f>15*3.5</f>
        <v>52.5</v>
      </c>
      <c r="M210" s="81">
        <f t="shared" si="12"/>
        <v>52.5</v>
      </c>
      <c r="U210" s="104"/>
    </row>
    <row r="211" spans="1:25" x14ac:dyDescent="0.3">
      <c r="A211">
        <v>13</v>
      </c>
      <c r="B211" t="s">
        <v>90</v>
      </c>
      <c r="C211">
        <f>4*3.5</f>
        <v>14</v>
      </c>
      <c r="M211" s="81">
        <f t="shared" si="12"/>
        <v>14</v>
      </c>
      <c r="U211" s="104"/>
    </row>
    <row r="212" spans="1:25" x14ac:dyDescent="0.3">
      <c r="A212">
        <v>12</v>
      </c>
      <c r="B212" t="s">
        <v>114</v>
      </c>
      <c r="C212">
        <f>5*3.5</f>
        <v>17.5</v>
      </c>
      <c r="I212" s="105">
        <v>3</v>
      </c>
      <c r="J212" t="s">
        <v>114</v>
      </c>
      <c r="K212">
        <f>15*3.5</f>
        <v>52.5</v>
      </c>
      <c r="M212" s="81">
        <f t="shared" si="12"/>
        <v>70</v>
      </c>
      <c r="U212" s="104"/>
    </row>
    <row r="213" spans="1:25" x14ac:dyDescent="0.3">
      <c r="E213" s="105">
        <v>14</v>
      </c>
      <c r="F213" t="s">
        <v>225</v>
      </c>
      <c r="G213">
        <f>3*3.5</f>
        <v>10.5</v>
      </c>
      <c r="M213" s="81">
        <f t="shared" si="12"/>
        <v>10.5</v>
      </c>
      <c r="U213" s="104"/>
    </row>
    <row r="214" spans="1:25" x14ac:dyDescent="0.3">
      <c r="I214" s="105">
        <v>5</v>
      </c>
      <c r="J214" t="s">
        <v>96</v>
      </c>
      <c r="K214">
        <f>12*3.5</f>
        <v>42</v>
      </c>
      <c r="M214" s="81">
        <f t="shared" si="12"/>
        <v>42</v>
      </c>
      <c r="Q214" s="104"/>
      <c r="U214" s="104"/>
    </row>
    <row r="215" spans="1:25" x14ac:dyDescent="0.3">
      <c r="Q215" s="104"/>
      <c r="U215" s="104"/>
    </row>
    <row r="216" spans="1:25" x14ac:dyDescent="0.3">
      <c r="A216" s="74" t="s">
        <v>226</v>
      </c>
      <c r="B216" s="74">
        <v>135</v>
      </c>
      <c r="C216" s="74" t="s">
        <v>130</v>
      </c>
      <c r="E216" s="74" t="s">
        <v>226</v>
      </c>
      <c r="F216" s="74">
        <v>145</v>
      </c>
      <c r="G216" s="74" t="s">
        <v>219</v>
      </c>
      <c r="I216" s="74" t="s">
        <v>226</v>
      </c>
      <c r="J216" s="74">
        <v>140</v>
      </c>
      <c r="K216" s="74" t="s">
        <v>130</v>
      </c>
      <c r="M216" s="74" t="s">
        <v>226</v>
      </c>
      <c r="N216" s="74">
        <v>150</v>
      </c>
      <c r="O216" s="74" t="s">
        <v>219</v>
      </c>
      <c r="Q216" s="74" t="s">
        <v>226</v>
      </c>
      <c r="R216" s="74">
        <v>140</v>
      </c>
      <c r="S216" s="74" t="s">
        <v>130</v>
      </c>
      <c r="U216" s="74" t="s">
        <v>226</v>
      </c>
      <c r="V216" s="74">
        <v>135</v>
      </c>
      <c r="W216" s="74" t="s">
        <v>130</v>
      </c>
      <c r="Y216" s="81" t="s">
        <v>50</v>
      </c>
    </row>
    <row r="217" spans="1:25" x14ac:dyDescent="0.3">
      <c r="A217">
        <v>5</v>
      </c>
      <c r="B217" t="s">
        <v>110</v>
      </c>
      <c r="C217">
        <f>12*3.5</f>
        <v>42</v>
      </c>
      <c r="E217">
        <v>9</v>
      </c>
      <c r="F217" t="s">
        <v>110</v>
      </c>
      <c r="G217">
        <f>8*4</f>
        <v>32</v>
      </c>
      <c r="I217" s="105">
        <v>3</v>
      </c>
      <c r="J217" t="s">
        <v>110</v>
      </c>
      <c r="K217">
        <f>15*3.5</f>
        <v>52.5</v>
      </c>
      <c r="M217" s="105">
        <v>12</v>
      </c>
      <c r="N217" t="s">
        <v>110</v>
      </c>
      <c r="O217">
        <f>5*4</f>
        <v>20</v>
      </c>
      <c r="Q217">
        <v>9</v>
      </c>
      <c r="R217" t="s">
        <v>110</v>
      </c>
      <c r="S217">
        <f>8*3.5</f>
        <v>28</v>
      </c>
      <c r="U217" s="105">
        <v>8</v>
      </c>
      <c r="V217" s="104" t="s">
        <v>110</v>
      </c>
      <c r="W217">
        <f>9*3.5</f>
        <v>31.5</v>
      </c>
      <c r="Y217" s="81">
        <f>C217+G217+K217+O217+S217+W217+M207</f>
        <v>244.5</v>
      </c>
    </row>
    <row r="218" spans="1:25" x14ac:dyDescent="0.3">
      <c r="Q218">
        <v>6</v>
      </c>
      <c r="R218" t="s">
        <v>103</v>
      </c>
      <c r="S218">
        <f>11*3.5</f>
        <v>38.5</v>
      </c>
      <c r="V218" t="s">
        <v>103</v>
      </c>
      <c r="Y218" s="81">
        <f>C218+G218+K218+O218+S218+W218+C231</f>
        <v>73.5</v>
      </c>
    </row>
    <row r="219" spans="1:25" x14ac:dyDescent="0.3">
      <c r="M219" s="105">
        <v>2</v>
      </c>
      <c r="N219" t="s">
        <v>142</v>
      </c>
      <c r="O219">
        <f>17*4</f>
        <v>68</v>
      </c>
      <c r="Q219">
        <v>15</v>
      </c>
      <c r="R219" t="s">
        <v>142</v>
      </c>
      <c r="S219">
        <f>2*3.5</f>
        <v>7</v>
      </c>
      <c r="V219" t="s">
        <v>142</v>
      </c>
      <c r="Y219" s="81">
        <f t="shared" ref="Y219:Y223" si="13">C219+G219+K219+O219+S219+W219</f>
        <v>75</v>
      </c>
    </row>
    <row r="220" spans="1:25" x14ac:dyDescent="0.3">
      <c r="I220" s="105">
        <v>8</v>
      </c>
      <c r="J220" t="s">
        <v>86</v>
      </c>
      <c r="K220">
        <f>9*3.5</f>
        <v>31.5</v>
      </c>
      <c r="Q220">
        <v>4</v>
      </c>
      <c r="R220" t="s">
        <v>86</v>
      </c>
      <c r="S220">
        <f>13*3.5</f>
        <v>45.5</v>
      </c>
      <c r="U220" s="105">
        <v>13</v>
      </c>
      <c r="V220" t="s">
        <v>86</v>
      </c>
      <c r="W220">
        <f>4*3.5</f>
        <v>14</v>
      </c>
      <c r="Y220" s="81">
        <f t="shared" si="13"/>
        <v>91</v>
      </c>
    </row>
    <row r="221" spans="1:25" x14ac:dyDescent="0.3">
      <c r="I221" s="105">
        <v>9</v>
      </c>
      <c r="J221" t="s">
        <v>102</v>
      </c>
      <c r="K221">
        <f>8*3.5</f>
        <v>28</v>
      </c>
      <c r="Q221">
        <v>10</v>
      </c>
      <c r="R221" t="s">
        <v>102</v>
      </c>
      <c r="S221">
        <f>7*3.5</f>
        <v>24.5</v>
      </c>
      <c r="V221" t="s">
        <v>102</v>
      </c>
      <c r="Y221" s="81">
        <f t="shared" si="13"/>
        <v>52.5</v>
      </c>
    </row>
    <row r="222" spans="1:25" x14ac:dyDescent="0.3">
      <c r="A222">
        <v>1</v>
      </c>
      <c r="B222" t="s">
        <v>135</v>
      </c>
      <c r="C222">
        <f>20*3.5</f>
        <v>70</v>
      </c>
      <c r="E222">
        <v>3</v>
      </c>
      <c r="F222" t="s">
        <v>135</v>
      </c>
      <c r="G222">
        <f>15*4</f>
        <v>60</v>
      </c>
      <c r="V222" t="s">
        <v>135</v>
      </c>
      <c r="Y222" s="81">
        <f>C222+G222+K222+O222+S222+W222+C233</f>
        <v>140.5</v>
      </c>
    </row>
    <row r="223" spans="1:25" x14ac:dyDescent="0.3">
      <c r="A223">
        <v>16</v>
      </c>
      <c r="B223" t="s">
        <v>105</v>
      </c>
      <c r="C223">
        <f>1*3.5</f>
        <v>3.5</v>
      </c>
      <c r="I223" s="105">
        <v>11</v>
      </c>
      <c r="J223" t="s">
        <v>105</v>
      </c>
      <c r="K223">
        <f>6*3.5</f>
        <v>21</v>
      </c>
      <c r="Q223">
        <v>7</v>
      </c>
      <c r="R223" t="s">
        <v>105</v>
      </c>
      <c r="S223">
        <f>10*3.5</f>
        <v>35</v>
      </c>
      <c r="V223" t="s">
        <v>105</v>
      </c>
      <c r="Y223" s="81">
        <f t="shared" si="13"/>
        <v>59.5</v>
      </c>
    </row>
    <row r="224" spans="1:25" x14ac:dyDescent="0.3">
      <c r="A224">
        <v>2</v>
      </c>
      <c r="B224" t="s">
        <v>101</v>
      </c>
      <c r="C224">
        <f>17*3.5</f>
        <v>59.5</v>
      </c>
      <c r="E224">
        <v>7</v>
      </c>
      <c r="F224" t="s">
        <v>101</v>
      </c>
      <c r="G224">
        <f>10*4</f>
        <v>40</v>
      </c>
      <c r="I224" s="105">
        <v>1</v>
      </c>
      <c r="J224" t="s">
        <v>101</v>
      </c>
      <c r="K224">
        <f>20*3.5</f>
        <v>70</v>
      </c>
      <c r="M224" s="105">
        <v>8</v>
      </c>
      <c r="N224" t="s">
        <v>101</v>
      </c>
      <c r="O224">
        <f>9*4</f>
        <v>36</v>
      </c>
      <c r="U224" s="105">
        <v>4</v>
      </c>
      <c r="V224" s="104" t="s">
        <v>101</v>
      </c>
      <c r="W224">
        <f>13*3.5</f>
        <v>45.5</v>
      </c>
      <c r="Y224" s="81">
        <f>C224+G224+K224+O224+S224+W224+C235</f>
        <v>303.5</v>
      </c>
    </row>
    <row r="225" spans="1:25" x14ac:dyDescent="0.3">
      <c r="A225">
        <v>4</v>
      </c>
      <c r="B225" t="s">
        <v>100</v>
      </c>
      <c r="C225">
        <f>13*3.5</f>
        <v>45.5</v>
      </c>
      <c r="E225">
        <v>10</v>
      </c>
      <c r="F225" t="s">
        <v>100</v>
      </c>
      <c r="G225">
        <f>7*4</f>
        <v>28</v>
      </c>
      <c r="I225" s="105">
        <v>2</v>
      </c>
      <c r="J225" t="s">
        <v>100</v>
      </c>
      <c r="K225">
        <f>17*3.5</f>
        <v>59.5</v>
      </c>
      <c r="M225" s="105">
        <v>9</v>
      </c>
      <c r="N225" t="s">
        <v>100</v>
      </c>
      <c r="O225">
        <f>8*4</f>
        <v>32</v>
      </c>
      <c r="Q225">
        <v>2</v>
      </c>
      <c r="R225" t="s">
        <v>100</v>
      </c>
      <c r="S225">
        <f>17*3.5</f>
        <v>59.5</v>
      </c>
      <c r="U225" s="105">
        <v>1</v>
      </c>
      <c r="V225" s="104" t="s">
        <v>100</v>
      </c>
      <c r="W225">
        <f>20*3.5</f>
        <v>70</v>
      </c>
      <c r="Y225" s="81">
        <f>C225+G225+K225+O225+S225+W225+M210</f>
        <v>347</v>
      </c>
    </row>
    <row r="226" spans="1:25" x14ac:dyDescent="0.3">
      <c r="A226">
        <v>11</v>
      </c>
      <c r="B226" t="s">
        <v>90</v>
      </c>
      <c r="C226">
        <f>6*3.5</f>
        <v>21</v>
      </c>
      <c r="M226" s="105">
        <v>15</v>
      </c>
      <c r="N226" t="s">
        <v>90</v>
      </c>
      <c r="O226">
        <f>2*4</f>
        <v>8</v>
      </c>
      <c r="Q226">
        <v>16</v>
      </c>
      <c r="R226" t="s">
        <v>90</v>
      </c>
      <c r="S226">
        <f>1*3.5</f>
        <v>3.5</v>
      </c>
      <c r="U226" s="105">
        <v>11</v>
      </c>
      <c r="V226" s="104" t="s">
        <v>90</v>
      </c>
      <c r="W226">
        <f>6*3.5</f>
        <v>21</v>
      </c>
      <c r="Y226" s="81">
        <f>C226+G226+K226+O226+S226+W226+M211</f>
        <v>67.5</v>
      </c>
    </row>
    <row r="227" spans="1:25" x14ac:dyDescent="0.3">
      <c r="A227">
        <v>15</v>
      </c>
      <c r="B227" t="s">
        <v>225</v>
      </c>
      <c r="C227">
        <f>2*3.5</f>
        <v>7</v>
      </c>
      <c r="E227">
        <v>4</v>
      </c>
      <c r="F227" t="s">
        <v>225</v>
      </c>
      <c r="G227">
        <f>13*4</f>
        <v>52</v>
      </c>
      <c r="I227" s="105">
        <v>13</v>
      </c>
      <c r="J227" t="s">
        <v>225</v>
      </c>
      <c r="K227">
        <f>4*3.5</f>
        <v>14</v>
      </c>
      <c r="M227" s="105">
        <v>4</v>
      </c>
      <c r="N227" t="s">
        <v>225</v>
      </c>
      <c r="O227">
        <f>13*4</f>
        <v>52</v>
      </c>
      <c r="V227" t="s">
        <v>225</v>
      </c>
      <c r="Y227" s="81">
        <f>C227+G227+K227+O227+S227+W227+M213+C236</f>
        <v>177.5</v>
      </c>
    </row>
    <row r="228" spans="1:25" ht="15" customHeight="1" x14ac:dyDescent="0.3">
      <c r="A228">
        <v>14</v>
      </c>
      <c r="B228" t="s">
        <v>224</v>
      </c>
      <c r="C228">
        <f>3*3.5</f>
        <v>10.5</v>
      </c>
      <c r="V228" t="s">
        <v>224</v>
      </c>
      <c r="Y228" s="81">
        <f>C228+G228+K228+O228+S228+W228+C237</f>
        <v>24.5</v>
      </c>
    </row>
    <row r="229" spans="1:25" ht="15" customHeight="1" x14ac:dyDescent="0.3">
      <c r="Y229" s="81"/>
    </row>
    <row r="230" spans="1:25" ht="15" customHeight="1" x14ac:dyDescent="0.3">
      <c r="A230" s="74" t="s">
        <v>231</v>
      </c>
      <c r="B230" s="74" t="s">
        <v>232</v>
      </c>
      <c r="C230" s="74" t="s">
        <v>130</v>
      </c>
      <c r="Y230" s="81"/>
    </row>
    <row r="231" spans="1:25" ht="15" customHeight="1" x14ac:dyDescent="0.3">
      <c r="A231">
        <v>7</v>
      </c>
      <c r="B231" t="s">
        <v>103</v>
      </c>
      <c r="C231">
        <f>10*3.5</f>
        <v>35</v>
      </c>
      <c r="E231" s="104"/>
      <c r="X231" s="81"/>
    </row>
    <row r="232" spans="1:25" ht="15" customHeight="1" x14ac:dyDescent="0.3">
      <c r="A232">
        <v>15</v>
      </c>
      <c r="B232" t="s">
        <v>181</v>
      </c>
      <c r="C232">
        <f>2*3.5</f>
        <v>7</v>
      </c>
      <c r="E232" s="104"/>
      <c r="X232" s="81"/>
    </row>
    <row r="233" spans="1:25" ht="15" customHeight="1" x14ac:dyDescent="0.3">
      <c r="A233">
        <v>14</v>
      </c>
      <c r="B233" t="s">
        <v>135</v>
      </c>
      <c r="C233">
        <f>3*3.5</f>
        <v>10.5</v>
      </c>
      <c r="E233" s="104"/>
      <c r="X233" s="81"/>
    </row>
    <row r="234" spans="1:25" ht="15" customHeight="1" x14ac:dyDescent="0.3">
      <c r="A234">
        <v>10</v>
      </c>
      <c r="B234" t="s">
        <v>136</v>
      </c>
      <c r="C234">
        <f>7*3.5</f>
        <v>24.5</v>
      </c>
      <c r="E234" s="104"/>
      <c r="X234" s="81"/>
    </row>
    <row r="235" spans="1:25" ht="15" customHeight="1" x14ac:dyDescent="0.3">
      <c r="A235">
        <v>3</v>
      </c>
      <c r="B235" t="s">
        <v>101</v>
      </c>
      <c r="C235">
        <f>15*3.5</f>
        <v>52.5</v>
      </c>
      <c r="E235" s="104"/>
      <c r="X235" s="81"/>
    </row>
    <row r="236" spans="1:25" ht="15" customHeight="1" x14ac:dyDescent="0.3">
      <c r="A236">
        <v>5</v>
      </c>
      <c r="B236" t="s">
        <v>225</v>
      </c>
      <c r="C236">
        <f>12*3.5</f>
        <v>42</v>
      </c>
      <c r="X236" s="81"/>
    </row>
    <row r="237" spans="1:25" ht="15" customHeight="1" x14ac:dyDescent="0.3">
      <c r="A237">
        <v>13</v>
      </c>
      <c r="B237" t="s">
        <v>224</v>
      </c>
      <c r="C237">
        <f>4*3.5</f>
        <v>14</v>
      </c>
      <c r="E237" s="104"/>
      <c r="X237" s="81"/>
    </row>
    <row r="238" spans="1:25" ht="15" customHeight="1" x14ac:dyDescent="0.3">
      <c r="E238" s="104"/>
      <c r="X238" s="81"/>
    </row>
    <row r="239" spans="1:25" ht="15" customHeight="1" x14ac:dyDescent="0.3">
      <c r="E239" s="104"/>
      <c r="X239" s="81"/>
    </row>
    <row r="240" spans="1:25" ht="15" customHeight="1" x14ac:dyDescent="0.3">
      <c r="A240" s="74" t="s">
        <v>227</v>
      </c>
      <c r="X240" s="81"/>
    </row>
    <row r="241" spans="1:25" ht="15" customHeight="1" x14ac:dyDescent="0.3">
      <c r="A241" s="76" t="s">
        <v>144</v>
      </c>
      <c r="B241" s="76">
        <v>130</v>
      </c>
      <c r="C241" s="76" t="s">
        <v>130</v>
      </c>
      <c r="X241" s="81"/>
    </row>
    <row r="242" spans="1:25" ht="15" customHeight="1" x14ac:dyDescent="0.3">
      <c r="X242" s="81"/>
    </row>
    <row r="243" spans="1:25" ht="15" customHeight="1" x14ac:dyDescent="0.3">
      <c r="A243">
        <v>1</v>
      </c>
      <c r="B243" t="s">
        <v>136</v>
      </c>
      <c r="C243">
        <f>20*3.5</f>
        <v>70</v>
      </c>
      <c r="X243" s="81"/>
    </row>
    <row r="244" spans="1:25" ht="15" customHeight="1" x14ac:dyDescent="0.3">
      <c r="A244">
        <v>10</v>
      </c>
      <c r="B244" t="s">
        <v>90</v>
      </c>
      <c r="C244">
        <f>7*3.5</f>
        <v>24.5</v>
      </c>
      <c r="X244" s="81"/>
    </row>
    <row r="245" spans="1:25" ht="15" customHeight="1" x14ac:dyDescent="0.3">
      <c r="A245">
        <v>12</v>
      </c>
      <c r="B245" t="s">
        <v>115</v>
      </c>
      <c r="C245">
        <f>5*3.5</f>
        <v>17.5</v>
      </c>
      <c r="X245" s="81"/>
    </row>
    <row r="246" spans="1:25" ht="15" customHeight="1" x14ac:dyDescent="0.3">
      <c r="X246" s="81"/>
    </row>
    <row r="247" spans="1:25" ht="15" customHeight="1" x14ac:dyDescent="0.3">
      <c r="A247" s="74" t="s">
        <v>226</v>
      </c>
      <c r="B247" s="74">
        <v>140</v>
      </c>
      <c r="C247" s="74" t="s">
        <v>130</v>
      </c>
      <c r="U247" s="105">
        <v>16</v>
      </c>
      <c r="V247" t="s">
        <v>114</v>
      </c>
      <c r="W247">
        <f>1*3.5</f>
        <v>3.5</v>
      </c>
      <c r="Y247" s="81">
        <f>C238+G247+K247+O247+S247+W247+M212</f>
        <v>73.5</v>
      </c>
    </row>
    <row r="248" spans="1:25" ht="15" customHeight="1" x14ac:dyDescent="0.3">
      <c r="A248">
        <v>15</v>
      </c>
      <c r="B248" t="s">
        <v>110</v>
      </c>
      <c r="C248">
        <f>2*3.5</f>
        <v>7</v>
      </c>
    </row>
    <row r="249" spans="1:25" ht="15" customHeight="1" x14ac:dyDescent="0.3"/>
    <row r="250" spans="1:25" x14ac:dyDescent="0.3">
      <c r="D250" s="76"/>
      <c r="E250" s="76" t="s">
        <v>144</v>
      </c>
      <c r="F250" s="76">
        <v>130</v>
      </c>
      <c r="G250" s="76" t="s">
        <v>130</v>
      </c>
      <c r="H250" s="76"/>
      <c r="I250" s="76" t="s">
        <v>144</v>
      </c>
      <c r="J250" s="76">
        <v>135</v>
      </c>
      <c r="K250" s="74" t="s">
        <v>130</v>
      </c>
      <c r="M250" s="81" t="s">
        <v>50</v>
      </c>
    </row>
    <row r="251" spans="1:25" x14ac:dyDescent="0.3">
      <c r="A251">
        <v>2</v>
      </c>
      <c r="B251" t="s">
        <v>105</v>
      </c>
      <c r="C251">
        <f>17*3.5</f>
        <v>59.5</v>
      </c>
      <c r="I251" s="105">
        <v>13</v>
      </c>
      <c r="J251" t="s">
        <v>181</v>
      </c>
      <c r="K251">
        <f>4*3.5</f>
        <v>14</v>
      </c>
      <c r="M251" s="107">
        <f>C242+G251+K251</f>
        <v>14</v>
      </c>
    </row>
    <row r="252" spans="1:25" x14ac:dyDescent="0.3">
      <c r="A252">
        <v>8</v>
      </c>
      <c r="B252" t="s">
        <v>101</v>
      </c>
      <c r="C252">
        <f>9*3.5</f>
        <v>31.5</v>
      </c>
      <c r="E252" s="105">
        <v>14</v>
      </c>
      <c r="F252" t="s">
        <v>136</v>
      </c>
      <c r="G252">
        <f>3*3.5</f>
        <v>10.5</v>
      </c>
      <c r="I252" s="105">
        <v>9</v>
      </c>
      <c r="J252" t="s">
        <v>136</v>
      </c>
      <c r="K252">
        <f>8*3.5</f>
        <v>28</v>
      </c>
      <c r="M252" s="107">
        <f>C243+G252+K252</f>
        <v>108.5</v>
      </c>
    </row>
    <row r="253" spans="1:25" x14ac:dyDescent="0.3">
      <c r="A253">
        <v>1</v>
      </c>
      <c r="B253" t="s">
        <v>100</v>
      </c>
      <c r="C253">
        <f>20*3.5</f>
        <v>70</v>
      </c>
      <c r="E253" s="105">
        <v>9</v>
      </c>
      <c r="F253" t="s">
        <v>90</v>
      </c>
      <c r="G253">
        <f>8*3.5</f>
        <v>28</v>
      </c>
      <c r="I253" s="105">
        <v>11</v>
      </c>
      <c r="J253" t="s">
        <v>90</v>
      </c>
      <c r="K253">
        <f>6*3.5</f>
        <v>21</v>
      </c>
      <c r="M253" s="107">
        <f>C244+G253+K253</f>
        <v>73.5</v>
      </c>
    </row>
    <row r="254" spans="1:25" x14ac:dyDescent="0.3">
      <c r="A254">
        <v>5</v>
      </c>
      <c r="B254" t="s">
        <v>225</v>
      </c>
      <c r="C254">
        <f>12*3.5</f>
        <v>42</v>
      </c>
      <c r="J254" t="s">
        <v>115</v>
      </c>
      <c r="M254" s="107">
        <f>C245+G254+K254</f>
        <v>17.5</v>
      </c>
    </row>
    <row r="255" spans="1:25" x14ac:dyDescent="0.3">
      <c r="M255" s="104"/>
    </row>
    <row r="256" spans="1:25" x14ac:dyDescent="0.3">
      <c r="D256" s="74"/>
      <c r="E256" s="74" t="s">
        <v>226</v>
      </c>
      <c r="F256" s="74">
        <v>135</v>
      </c>
      <c r="G256" s="74" t="s">
        <v>130</v>
      </c>
      <c r="H256" s="74"/>
      <c r="I256" s="74" t="s">
        <v>226</v>
      </c>
      <c r="J256" s="74">
        <v>145</v>
      </c>
      <c r="K256" s="74" t="s">
        <v>219</v>
      </c>
      <c r="L256" s="74"/>
      <c r="M256" s="106" t="s">
        <v>226</v>
      </c>
      <c r="N256" s="74">
        <v>140</v>
      </c>
      <c r="O256" s="74" t="s">
        <v>130</v>
      </c>
      <c r="P256" s="74"/>
      <c r="Q256" s="74" t="s">
        <v>226</v>
      </c>
      <c r="R256" s="74">
        <v>140</v>
      </c>
      <c r="S256" s="74" t="s">
        <v>130</v>
      </c>
      <c r="U256" s="74" t="s">
        <v>226</v>
      </c>
      <c r="V256" s="74">
        <v>150</v>
      </c>
      <c r="W256" s="74" t="s">
        <v>219</v>
      </c>
      <c r="X256" s="74"/>
      <c r="Y256" s="74" t="s">
        <v>50</v>
      </c>
    </row>
    <row r="257" spans="1:25" x14ac:dyDescent="0.3">
      <c r="E257" s="105">
        <v>8</v>
      </c>
      <c r="F257" s="105" t="s">
        <v>110</v>
      </c>
      <c r="G257" s="105">
        <f>9*3.5</f>
        <v>31.5</v>
      </c>
      <c r="H257" s="105"/>
      <c r="I257" s="105">
        <v>9</v>
      </c>
      <c r="J257" s="105" t="s">
        <v>110</v>
      </c>
      <c r="K257" s="105">
        <f>8*4</f>
        <v>32</v>
      </c>
      <c r="L257" s="105"/>
      <c r="M257" s="105">
        <v>11</v>
      </c>
      <c r="N257" s="105" t="s">
        <v>110</v>
      </c>
      <c r="O257" s="105">
        <f>2*3.5</f>
        <v>7</v>
      </c>
      <c r="P257" s="105"/>
      <c r="Q257" s="105">
        <v>5</v>
      </c>
      <c r="R257" s="105" t="s">
        <v>110</v>
      </c>
      <c r="S257" s="105">
        <f>12*3.5</f>
        <v>42</v>
      </c>
      <c r="T257" s="105"/>
      <c r="U257" s="105">
        <v>8</v>
      </c>
      <c r="V257" s="105" t="s">
        <v>110</v>
      </c>
      <c r="W257" s="105">
        <f>9*4</f>
        <v>36</v>
      </c>
      <c r="X257" s="105"/>
      <c r="Y257" s="107">
        <f t="shared" ref="Y257:Y263" si="14">C248+G257+K257+O257+S257+W257</f>
        <v>155.5</v>
      </c>
    </row>
    <row r="258" spans="1:25" x14ac:dyDescent="0.3">
      <c r="H258" s="105"/>
      <c r="I258" s="105">
        <v>7</v>
      </c>
      <c r="J258" s="105" t="s">
        <v>142</v>
      </c>
      <c r="K258" s="105">
        <f>10*4</f>
        <v>40</v>
      </c>
      <c r="L258" s="105"/>
      <c r="P258" s="105"/>
      <c r="T258" s="105"/>
      <c r="U258" s="105">
        <v>2</v>
      </c>
      <c r="V258" s="105" t="s">
        <v>142</v>
      </c>
      <c r="W258" s="105">
        <f>17*4</f>
        <v>68</v>
      </c>
      <c r="X258" s="105"/>
      <c r="Y258" s="107">
        <f t="shared" si="14"/>
        <v>108</v>
      </c>
    </row>
    <row r="259" spans="1:25" x14ac:dyDescent="0.3">
      <c r="E259" s="105">
        <v>10</v>
      </c>
      <c r="F259" s="105" t="s">
        <v>102</v>
      </c>
      <c r="G259" s="105">
        <f>7*3.5</f>
        <v>24.5</v>
      </c>
      <c r="H259" s="105"/>
      <c r="I259" s="105">
        <v>10</v>
      </c>
      <c r="J259" s="105" t="s">
        <v>102</v>
      </c>
      <c r="K259" s="105">
        <f>7*4</f>
        <v>28</v>
      </c>
      <c r="L259" s="105"/>
      <c r="M259" s="105">
        <v>3</v>
      </c>
      <c r="N259" s="105" t="s">
        <v>102</v>
      </c>
      <c r="O259" s="105">
        <f>11*3.5</f>
        <v>38.5</v>
      </c>
      <c r="P259" s="105"/>
      <c r="T259" s="105"/>
      <c r="U259" s="105">
        <v>12</v>
      </c>
      <c r="V259" s="105" t="s">
        <v>102</v>
      </c>
      <c r="W259" s="105">
        <f>5*4</f>
        <v>20</v>
      </c>
      <c r="X259" s="105"/>
      <c r="Y259" s="107">
        <f t="shared" si="14"/>
        <v>111</v>
      </c>
    </row>
    <row r="260" spans="1:25" x14ac:dyDescent="0.3">
      <c r="E260" s="105">
        <v>9</v>
      </c>
      <c r="F260" s="105" t="s">
        <v>105</v>
      </c>
      <c r="G260" s="105">
        <f>8*3.5</f>
        <v>28</v>
      </c>
      <c r="H260" s="105"/>
      <c r="I260" s="105">
        <v>14</v>
      </c>
      <c r="J260" s="105" t="s">
        <v>105</v>
      </c>
      <c r="K260" s="105">
        <f>3*4</f>
        <v>12</v>
      </c>
      <c r="L260" s="105"/>
      <c r="P260" s="105"/>
      <c r="T260" s="105"/>
      <c r="V260" t="s">
        <v>105</v>
      </c>
      <c r="X260" s="105"/>
      <c r="Y260" s="107">
        <f t="shared" si="14"/>
        <v>99.5</v>
      </c>
    </row>
    <row r="261" spans="1:25" x14ac:dyDescent="0.3">
      <c r="H261" s="105"/>
      <c r="I261" s="105">
        <v>4</v>
      </c>
      <c r="J261" s="105" t="s">
        <v>101</v>
      </c>
      <c r="K261" s="105">
        <f>13*4</f>
        <v>52</v>
      </c>
      <c r="L261" s="105"/>
      <c r="M261" s="105"/>
      <c r="N261" s="105"/>
      <c r="O261" s="105"/>
      <c r="P261" s="105"/>
      <c r="Q261" s="105">
        <v>1</v>
      </c>
      <c r="R261" s="105" t="s">
        <v>101</v>
      </c>
      <c r="S261" s="105">
        <f>20*3.5</f>
        <v>70</v>
      </c>
      <c r="T261" s="105"/>
      <c r="V261" t="s">
        <v>101</v>
      </c>
      <c r="X261" s="105"/>
      <c r="Y261" s="107">
        <f t="shared" si="14"/>
        <v>153.5</v>
      </c>
    </row>
    <row r="262" spans="1:25" x14ac:dyDescent="0.3">
      <c r="E262" s="105"/>
      <c r="F262" s="105"/>
      <c r="G262" s="105"/>
      <c r="H262" s="105"/>
      <c r="I262" s="105">
        <v>6</v>
      </c>
      <c r="J262" s="105" t="s">
        <v>100</v>
      </c>
      <c r="K262" s="105">
        <f>11*4</f>
        <v>44</v>
      </c>
      <c r="L262" s="105"/>
      <c r="M262" s="105"/>
      <c r="N262" s="105"/>
      <c r="O262" s="105"/>
      <c r="P262" s="105"/>
      <c r="Q262" s="105">
        <v>2</v>
      </c>
      <c r="R262" s="105" t="s">
        <v>100</v>
      </c>
      <c r="S262" s="105">
        <f>17*3.5</f>
        <v>59.5</v>
      </c>
      <c r="T262" s="105"/>
      <c r="U262" s="105"/>
      <c r="V262" s="105" t="s">
        <v>100</v>
      </c>
      <c r="W262" s="105"/>
      <c r="X262" s="105"/>
      <c r="Y262" s="107">
        <f t="shared" si="14"/>
        <v>173.5</v>
      </c>
    </row>
    <row r="263" spans="1:25" x14ac:dyDescent="0.3">
      <c r="H263" s="105"/>
      <c r="I263" s="105"/>
      <c r="J263" s="105"/>
      <c r="K263" s="105"/>
      <c r="L263" s="105"/>
      <c r="M263" s="105">
        <v>2</v>
      </c>
      <c r="N263" s="105" t="s">
        <v>225</v>
      </c>
      <c r="O263" s="105">
        <f>13*3.5</f>
        <v>45.5</v>
      </c>
      <c r="P263" s="105"/>
      <c r="T263" s="105"/>
      <c r="U263" s="105">
        <v>10</v>
      </c>
      <c r="V263" s="105" t="s">
        <v>225</v>
      </c>
      <c r="W263" s="105">
        <f>7*4</f>
        <v>28</v>
      </c>
      <c r="X263" s="105"/>
      <c r="Y263" s="107">
        <f t="shared" si="14"/>
        <v>115.5</v>
      </c>
    </row>
    <row r="264" spans="1:25" x14ac:dyDescent="0.3">
      <c r="H264" s="105"/>
      <c r="I264" s="105"/>
      <c r="J264" s="105"/>
      <c r="K264" s="105"/>
      <c r="L264" s="105"/>
      <c r="M264" s="105"/>
      <c r="N264" s="105"/>
      <c r="O264" s="105"/>
      <c r="P264" s="105"/>
      <c r="T264" s="105"/>
      <c r="U264" s="105">
        <v>15</v>
      </c>
      <c r="V264" s="105" t="s">
        <v>90</v>
      </c>
      <c r="W264" s="105">
        <f>2*4</f>
        <v>8</v>
      </c>
      <c r="X264" s="105"/>
      <c r="Y264" s="107">
        <f>C255+G264+K264+O264+S264+W264+M253</f>
        <v>81.5</v>
      </c>
    </row>
    <row r="265" spans="1:25" x14ac:dyDescent="0.3">
      <c r="E265" s="105">
        <v>2</v>
      </c>
      <c r="F265" s="105" t="s">
        <v>224</v>
      </c>
      <c r="G265" s="105">
        <f>17*3.5</f>
        <v>59.5</v>
      </c>
      <c r="H265" s="105"/>
      <c r="I265" s="105"/>
      <c r="J265" s="105"/>
      <c r="K265" s="105"/>
      <c r="L265" s="105"/>
      <c r="P265" s="105"/>
      <c r="Q265" s="105">
        <v>11</v>
      </c>
      <c r="R265" s="105" t="s">
        <v>224</v>
      </c>
      <c r="S265" s="105">
        <f>6*3.5</f>
        <v>21</v>
      </c>
      <c r="T265" s="105"/>
      <c r="V265" s="105" t="s">
        <v>224</v>
      </c>
      <c r="X265" s="105"/>
      <c r="Y265" s="107">
        <f>C256+G265+K265+O265+S265+W265</f>
        <v>80.5</v>
      </c>
    </row>
    <row r="266" spans="1:25" x14ac:dyDescent="0.3">
      <c r="E266" s="105">
        <v>12</v>
      </c>
      <c r="F266" s="105" t="s">
        <v>86</v>
      </c>
      <c r="G266" s="105">
        <f>5*3.5</f>
        <v>17.5</v>
      </c>
      <c r="H266" s="105"/>
      <c r="I266" s="105"/>
      <c r="J266" s="105"/>
      <c r="K266" s="105"/>
      <c r="L266" s="105"/>
      <c r="M266" s="105"/>
      <c r="N266" s="105"/>
      <c r="O266" s="105"/>
      <c r="P266" s="105"/>
      <c r="Q266" s="105">
        <v>14</v>
      </c>
      <c r="R266" s="105" t="s">
        <v>86</v>
      </c>
      <c r="S266" s="105">
        <f>3*3.5</f>
        <v>10.5</v>
      </c>
      <c r="T266" s="105"/>
      <c r="V266" s="105" t="s">
        <v>86</v>
      </c>
      <c r="X266" s="105"/>
      <c r="Y266" s="107">
        <f>C257+G266+K266+O266+S266+W266</f>
        <v>28</v>
      </c>
    </row>
    <row r="267" spans="1:25" x14ac:dyDescent="0.3">
      <c r="H267" s="105"/>
      <c r="L267" s="105"/>
      <c r="M267" s="105"/>
      <c r="N267" s="105"/>
      <c r="O267" s="105"/>
      <c r="P267" s="105"/>
      <c r="Q267" s="105">
        <v>9</v>
      </c>
      <c r="R267" s="105" t="s">
        <v>135</v>
      </c>
      <c r="S267" s="105">
        <f>8*3.5</f>
        <v>28</v>
      </c>
      <c r="T267" s="105"/>
      <c r="V267" s="105" t="s">
        <v>135</v>
      </c>
      <c r="X267" s="105"/>
      <c r="Y267" s="107">
        <f>C258+G267+K267+O267+S267+W267</f>
        <v>28</v>
      </c>
    </row>
    <row r="268" spans="1:25" x14ac:dyDescent="0.3">
      <c r="H268" s="105"/>
      <c r="L268" s="105"/>
      <c r="P268" s="105"/>
      <c r="Q268" s="105">
        <v>4</v>
      </c>
      <c r="R268" s="105" t="s">
        <v>140</v>
      </c>
      <c r="S268" s="105">
        <f>13*3.5</f>
        <v>45.5</v>
      </c>
      <c r="T268" s="105"/>
      <c r="V268" s="105" t="s">
        <v>140</v>
      </c>
      <c r="X268" s="105"/>
      <c r="Y268" s="107">
        <f>C259+G268+K268+O268+S268+W268</f>
        <v>45.5</v>
      </c>
    </row>
    <row r="269" spans="1:25" x14ac:dyDescent="0.3">
      <c r="H269" s="105"/>
      <c r="L269" s="105"/>
      <c r="P269" s="105"/>
      <c r="T269" s="105"/>
      <c r="X269" s="105"/>
    </row>
    <row r="270" spans="1:25" x14ac:dyDescent="0.3">
      <c r="A270" s="74" t="s">
        <v>167</v>
      </c>
      <c r="H270" s="105"/>
      <c r="L270" s="105"/>
      <c r="P270" s="105"/>
      <c r="T270" s="105"/>
      <c r="X270" s="105"/>
    </row>
    <row r="271" spans="1:25" s="74" customFormat="1" x14ac:dyDescent="0.3">
      <c r="B271" s="74">
        <v>135</v>
      </c>
      <c r="C271" s="74" t="s">
        <v>130</v>
      </c>
      <c r="F271" s="74">
        <v>135</v>
      </c>
      <c r="G271" s="74" t="s">
        <v>130</v>
      </c>
      <c r="H271" s="108"/>
      <c r="J271" s="74">
        <v>140</v>
      </c>
      <c r="K271" s="74" t="s">
        <v>130</v>
      </c>
      <c r="L271" s="108"/>
      <c r="N271" s="74">
        <v>130</v>
      </c>
      <c r="O271" s="74" t="s">
        <v>130</v>
      </c>
      <c r="P271" s="108"/>
      <c r="R271" s="74">
        <v>140</v>
      </c>
      <c r="S271" s="74" t="s">
        <v>130</v>
      </c>
      <c r="T271" s="108"/>
      <c r="U271" s="74" t="s">
        <v>50</v>
      </c>
      <c r="X271" s="108"/>
    </row>
    <row r="272" spans="1:25" x14ac:dyDescent="0.3">
      <c r="A272">
        <v>3</v>
      </c>
      <c r="B272" t="s">
        <v>128</v>
      </c>
      <c r="C272">
        <f>15*3.5</f>
        <v>52.5</v>
      </c>
      <c r="E272">
        <v>13</v>
      </c>
      <c r="F272" t="s">
        <v>128</v>
      </c>
      <c r="G272">
        <f>4*3.5</f>
        <v>14</v>
      </c>
      <c r="H272" s="105"/>
      <c r="I272">
        <v>8</v>
      </c>
      <c r="J272" t="s">
        <v>128</v>
      </c>
      <c r="K272">
        <f>9*3.5</f>
        <v>31.5</v>
      </c>
      <c r="L272" s="105"/>
      <c r="M272">
        <v>12</v>
      </c>
      <c r="N272" t="s">
        <v>128</v>
      </c>
      <c r="O272">
        <f>5*3.5</f>
        <v>17.5</v>
      </c>
      <c r="P272" s="105"/>
      <c r="Q272">
        <v>11</v>
      </c>
      <c r="R272" t="s">
        <v>128</v>
      </c>
      <c r="S272">
        <f>6*3.5</f>
        <v>21</v>
      </c>
      <c r="T272" s="105"/>
      <c r="U272" s="74">
        <f>C272+G272+K272+O272+S272</f>
        <v>136.5</v>
      </c>
      <c r="X272" s="105"/>
    </row>
    <row r="273" spans="1:24" x14ac:dyDescent="0.3">
      <c r="H273" s="105"/>
      <c r="L273" s="105"/>
      <c r="P273" s="105"/>
      <c r="T273" s="105"/>
      <c r="X273" s="105"/>
    </row>
    <row r="274" spans="1:24" x14ac:dyDescent="0.3">
      <c r="A274" s="74" t="s">
        <v>234</v>
      </c>
      <c r="H274" s="105"/>
      <c r="L274" s="105"/>
      <c r="P274" s="105"/>
      <c r="T274" s="105"/>
      <c r="X274" s="105"/>
    </row>
    <row r="275" spans="1:24" x14ac:dyDescent="0.3">
      <c r="B275" s="74">
        <v>145</v>
      </c>
      <c r="C275" s="74" t="s">
        <v>219</v>
      </c>
      <c r="F275" s="74">
        <v>145</v>
      </c>
      <c r="G275" s="74" t="s">
        <v>219</v>
      </c>
      <c r="H275" s="105"/>
      <c r="I275" s="81" t="s">
        <v>50</v>
      </c>
      <c r="L275" s="105"/>
      <c r="P275" s="105"/>
      <c r="T275" s="105"/>
      <c r="X275" s="105"/>
    </row>
    <row r="276" spans="1:24" x14ac:dyDescent="0.3">
      <c r="A276">
        <v>16</v>
      </c>
      <c r="B276" t="s">
        <v>142</v>
      </c>
      <c r="C276">
        <f>1*4</f>
        <v>4</v>
      </c>
      <c r="E276">
        <v>9</v>
      </c>
      <c r="F276" t="s">
        <v>142</v>
      </c>
      <c r="G276">
        <f>8*4</f>
        <v>32</v>
      </c>
      <c r="H276" s="105"/>
      <c r="I276" s="81">
        <f>G276+C276</f>
        <v>36</v>
      </c>
      <c r="L276" s="105"/>
      <c r="P276" s="105"/>
      <c r="T276" s="105"/>
      <c r="X276" s="105"/>
    </row>
    <row r="278" spans="1:24" x14ac:dyDescent="0.3">
      <c r="A278" s="74" t="s">
        <v>236</v>
      </c>
      <c r="B278" s="74"/>
      <c r="C278" s="74"/>
      <c r="D278" s="74"/>
      <c r="E278" s="74"/>
    </row>
    <row r="279" spans="1:24" s="74" customFormat="1" x14ac:dyDescent="0.3">
      <c r="A279" s="74" t="s">
        <v>239</v>
      </c>
      <c r="B279" s="74">
        <v>160</v>
      </c>
      <c r="C279" s="74" t="s">
        <v>238</v>
      </c>
      <c r="E279" s="74" t="s">
        <v>231</v>
      </c>
      <c r="F279" s="74">
        <v>140</v>
      </c>
      <c r="G279" s="74" t="s">
        <v>130</v>
      </c>
      <c r="J279" s="74">
        <v>140</v>
      </c>
      <c r="K279" s="74" t="s">
        <v>130</v>
      </c>
      <c r="N279" s="74">
        <v>145</v>
      </c>
      <c r="O279" s="74" t="s">
        <v>219</v>
      </c>
      <c r="Q279" s="74" t="s">
        <v>50</v>
      </c>
    </row>
    <row r="280" spans="1:24" x14ac:dyDescent="0.3">
      <c r="A280">
        <v>14</v>
      </c>
      <c r="B280" t="s">
        <v>110</v>
      </c>
      <c r="C280">
        <f>3*7.5</f>
        <v>22.5</v>
      </c>
      <c r="E280">
        <v>15</v>
      </c>
      <c r="F280" t="s">
        <v>110</v>
      </c>
      <c r="G280">
        <f>2*3.5</f>
        <v>7</v>
      </c>
      <c r="I280">
        <v>5</v>
      </c>
      <c r="J280" t="s">
        <v>110</v>
      </c>
      <c r="K280">
        <f>12*3.5</f>
        <v>42</v>
      </c>
      <c r="M280">
        <v>9</v>
      </c>
      <c r="N280" t="s">
        <v>110</v>
      </c>
      <c r="O280">
        <f>7*4</f>
        <v>28</v>
      </c>
      <c r="Q280" s="76">
        <f>C280+G280+K280+O280</f>
        <v>99.5</v>
      </c>
    </row>
    <row r="282" spans="1:24" x14ac:dyDescent="0.3">
      <c r="A282" s="74" t="s">
        <v>240</v>
      </c>
    </row>
    <row r="283" spans="1:24" s="74" customFormat="1" x14ac:dyDescent="0.3">
      <c r="A283" s="74" t="s">
        <v>226</v>
      </c>
      <c r="B283" s="74">
        <v>140</v>
      </c>
      <c r="C283" s="74" t="s">
        <v>130</v>
      </c>
      <c r="F283" s="74">
        <v>130</v>
      </c>
      <c r="G283" s="74" t="s">
        <v>130</v>
      </c>
      <c r="J283" s="74">
        <v>135</v>
      </c>
      <c r="K283" s="74" t="s">
        <v>130</v>
      </c>
      <c r="N283" s="74">
        <v>145</v>
      </c>
      <c r="O283" s="74" t="s">
        <v>219</v>
      </c>
      <c r="Q283" s="74" t="s">
        <v>50</v>
      </c>
    </row>
    <row r="284" spans="1:24" x14ac:dyDescent="0.3">
      <c r="A284">
        <v>7</v>
      </c>
      <c r="B284" t="s">
        <v>110</v>
      </c>
      <c r="C284">
        <f>10*3.5</f>
        <v>35</v>
      </c>
      <c r="E284">
        <v>2</v>
      </c>
      <c r="F284" t="s">
        <v>110</v>
      </c>
      <c r="G284">
        <f>17*3.5</f>
        <v>59.5</v>
      </c>
      <c r="I284">
        <v>3</v>
      </c>
      <c r="J284" t="s">
        <v>110</v>
      </c>
      <c r="K284">
        <f>15*3.5</f>
        <v>52.5</v>
      </c>
      <c r="Q284" s="81">
        <f>C284+G284+K284+O284</f>
        <v>147</v>
      </c>
    </row>
    <row r="285" spans="1:24" x14ac:dyDescent="0.3">
      <c r="M285">
        <v>6</v>
      </c>
      <c r="N285" t="s">
        <v>100</v>
      </c>
      <c r="O285">
        <f>11*4</f>
        <v>44</v>
      </c>
      <c r="Q285" s="81">
        <f>C285+G285+K285+O285</f>
        <v>44</v>
      </c>
    </row>
    <row r="287" spans="1:24" x14ac:dyDescent="0.3">
      <c r="A287" s="74" t="s">
        <v>242</v>
      </c>
      <c r="B287" s="74"/>
      <c r="C287" s="74"/>
      <c r="D287" s="74"/>
      <c r="E287" s="74"/>
    </row>
    <row r="288" spans="1:24" s="74" customFormat="1" x14ac:dyDescent="0.3">
      <c r="B288" s="74">
        <v>140</v>
      </c>
      <c r="C288" s="74" t="s">
        <v>130</v>
      </c>
      <c r="F288" s="74">
        <v>130</v>
      </c>
      <c r="G288" s="74" t="s">
        <v>130</v>
      </c>
      <c r="J288" s="74">
        <v>140</v>
      </c>
      <c r="K288" s="74" t="s">
        <v>130</v>
      </c>
      <c r="N288" s="74">
        <v>145</v>
      </c>
      <c r="O288" s="74" t="s">
        <v>219</v>
      </c>
      <c r="Q288" s="74" t="s">
        <v>50</v>
      </c>
    </row>
    <row r="289" spans="1:29" x14ac:dyDescent="0.3">
      <c r="A289">
        <v>1</v>
      </c>
      <c r="B289" t="s">
        <v>101</v>
      </c>
      <c r="C289">
        <f>20*3.5</f>
        <v>70</v>
      </c>
      <c r="E289">
        <v>1</v>
      </c>
      <c r="F289" t="s">
        <v>101</v>
      </c>
      <c r="G289">
        <f>20*3.5</f>
        <v>70</v>
      </c>
      <c r="M289">
        <v>2</v>
      </c>
      <c r="N289" t="s">
        <v>101</v>
      </c>
      <c r="O289">
        <f>17*3.5</f>
        <v>59.5</v>
      </c>
      <c r="Q289" s="81">
        <f>C289+G289+K289+O289</f>
        <v>199.5</v>
      </c>
    </row>
    <row r="290" spans="1:29" x14ac:dyDescent="0.3">
      <c r="A290">
        <v>5</v>
      </c>
      <c r="B290" t="s">
        <v>100</v>
      </c>
      <c r="C290">
        <f>12*3.5</f>
        <v>42</v>
      </c>
      <c r="I290">
        <v>2</v>
      </c>
      <c r="J290" t="s">
        <v>100</v>
      </c>
      <c r="K290">
        <f>17*3.5</f>
        <v>59.5</v>
      </c>
      <c r="M290">
        <v>13</v>
      </c>
      <c r="N290" t="s">
        <v>100</v>
      </c>
      <c r="O290">
        <f>4*3.5</f>
        <v>14</v>
      </c>
      <c r="Q290" s="81">
        <f>C290+G290+K290+O290</f>
        <v>115.5</v>
      </c>
    </row>
    <row r="292" spans="1:29" x14ac:dyDescent="0.3">
      <c r="A292" s="74" t="s">
        <v>244</v>
      </c>
      <c r="B292" s="74"/>
      <c r="C292" s="74"/>
      <c r="D292" s="74"/>
      <c r="E292" s="74"/>
    </row>
    <row r="293" spans="1:29" x14ac:dyDescent="0.3">
      <c r="B293">
        <v>145</v>
      </c>
      <c r="C293" t="s">
        <v>219</v>
      </c>
    </row>
    <row r="294" spans="1:29" x14ac:dyDescent="0.3">
      <c r="A294">
        <v>8</v>
      </c>
      <c r="B294" t="s">
        <v>142</v>
      </c>
      <c r="C294" s="74">
        <f>9*4</f>
        <v>36</v>
      </c>
    </row>
    <row r="296" spans="1:29" x14ac:dyDescent="0.3">
      <c r="A296" s="74" t="s">
        <v>246</v>
      </c>
      <c r="B296" s="74"/>
      <c r="C296" s="74"/>
      <c r="D296" s="74"/>
      <c r="E296" s="74"/>
    </row>
    <row r="297" spans="1:29" s="74" customFormat="1" x14ac:dyDescent="0.3">
      <c r="B297" s="74">
        <v>150</v>
      </c>
      <c r="C297" s="74" t="s">
        <v>219</v>
      </c>
      <c r="F297" s="74">
        <v>135</v>
      </c>
      <c r="G297" s="74" t="s">
        <v>130</v>
      </c>
      <c r="J297" s="74">
        <v>130</v>
      </c>
      <c r="K297" s="74" t="s">
        <v>130</v>
      </c>
      <c r="M297" s="74" t="s">
        <v>50</v>
      </c>
    </row>
    <row r="298" spans="1:29" x14ac:dyDescent="0.3">
      <c r="A298">
        <v>16</v>
      </c>
      <c r="B298" t="s">
        <v>110</v>
      </c>
      <c r="C298">
        <f>1*4</f>
        <v>4</v>
      </c>
      <c r="E298">
        <v>3</v>
      </c>
      <c r="F298" t="s">
        <v>110</v>
      </c>
      <c r="G298">
        <f>15*3.5</f>
        <v>52.5</v>
      </c>
      <c r="I298">
        <v>1</v>
      </c>
      <c r="J298" t="s">
        <v>110</v>
      </c>
      <c r="K298">
        <f>20*3.5</f>
        <v>70</v>
      </c>
      <c r="M298" s="74">
        <f>C298+G298+K298</f>
        <v>126.5</v>
      </c>
    </row>
    <row r="300" spans="1:29" x14ac:dyDescent="0.3">
      <c r="A300" s="74" t="s">
        <v>248</v>
      </c>
    </row>
    <row r="301" spans="1:29" s="74" customFormat="1" x14ac:dyDescent="0.3">
      <c r="A301" s="74" t="s">
        <v>250</v>
      </c>
      <c r="B301" s="74">
        <v>145</v>
      </c>
      <c r="C301" s="74" t="s">
        <v>131</v>
      </c>
      <c r="F301" s="74">
        <v>145</v>
      </c>
      <c r="G301" s="74" t="s">
        <v>131</v>
      </c>
      <c r="J301" s="74">
        <v>145</v>
      </c>
      <c r="K301" s="74" t="s">
        <v>131</v>
      </c>
      <c r="M301" s="74" t="s">
        <v>226</v>
      </c>
      <c r="N301" s="74">
        <v>140</v>
      </c>
      <c r="O301" s="74" t="s">
        <v>130</v>
      </c>
      <c r="R301" s="74">
        <v>130</v>
      </c>
      <c r="S301" s="74" t="s">
        <v>130</v>
      </c>
      <c r="V301" s="74">
        <v>140</v>
      </c>
      <c r="W301" s="74" t="s">
        <v>130</v>
      </c>
      <c r="Z301" s="74">
        <v>145</v>
      </c>
      <c r="AA301" s="74" t="s">
        <v>219</v>
      </c>
      <c r="AC301" s="74" t="s">
        <v>50</v>
      </c>
    </row>
    <row r="302" spans="1:29" x14ac:dyDescent="0.3">
      <c r="A302">
        <v>15</v>
      </c>
      <c r="B302" t="s">
        <v>110</v>
      </c>
      <c r="C302">
        <f>2*5</f>
        <v>10</v>
      </c>
      <c r="I302">
        <v>8</v>
      </c>
      <c r="J302" t="s">
        <v>110</v>
      </c>
      <c r="K302">
        <f>3*5</f>
        <v>15</v>
      </c>
      <c r="M302">
        <v>1</v>
      </c>
      <c r="N302" t="s">
        <v>110</v>
      </c>
      <c r="O302">
        <f>20*3.5</f>
        <v>70</v>
      </c>
      <c r="U302">
        <v>10</v>
      </c>
      <c r="V302" t="s">
        <v>110</v>
      </c>
      <c r="W302">
        <f>7*3.5</f>
        <v>24.5</v>
      </c>
      <c r="Y302">
        <v>16</v>
      </c>
      <c r="Z302" t="s">
        <v>110</v>
      </c>
      <c r="AA302">
        <f>1*4</f>
        <v>4</v>
      </c>
      <c r="AC302" s="81">
        <f>C302+G302+K302+O302+S302+W302+AA302</f>
        <v>123.5</v>
      </c>
    </row>
    <row r="303" spans="1:29" x14ac:dyDescent="0.3">
      <c r="E303">
        <v>13</v>
      </c>
      <c r="F303" t="s">
        <v>100</v>
      </c>
      <c r="G303">
        <f>4*5</f>
        <v>20</v>
      </c>
      <c r="I303">
        <v>8</v>
      </c>
      <c r="J303" t="s">
        <v>100</v>
      </c>
      <c r="K303">
        <f>3*5</f>
        <v>15</v>
      </c>
      <c r="M303">
        <v>7</v>
      </c>
      <c r="N303" t="s">
        <v>100</v>
      </c>
      <c r="O303">
        <f>10*3.5</f>
        <v>35</v>
      </c>
      <c r="Z303" t="s">
        <v>100</v>
      </c>
      <c r="AC303" s="81">
        <f t="shared" ref="AC303:AC306" si="15">C303+G303+K303+O303+S303+W303+AA303</f>
        <v>70</v>
      </c>
    </row>
    <row r="304" spans="1:29" x14ac:dyDescent="0.3">
      <c r="I304">
        <v>8</v>
      </c>
      <c r="J304" t="s">
        <v>142</v>
      </c>
      <c r="K304">
        <f>3*5</f>
        <v>15</v>
      </c>
      <c r="Z304" t="s">
        <v>142</v>
      </c>
      <c r="AC304" s="81">
        <f t="shared" si="15"/>
        <v>15</v>
      </c>
    </row>
    <row r="305" spans="1:33" x14ac:dyDescent="0.3">
      <c r="I305">
        <v>8</v>
      </c>
      <c r="J305" t="s">
        <v>90</v>
      </c>
      <c r="K305">
        <f>3*5</f>
        <v>15</v>
      </c>
      <c r="Q305">
        <v>7</v>
      </c>
      <c r="R305" t="s">
        <v>90</v>
      </c>
      <c r="S305">
        <f>10*3.5</f>
        <v>35</v>
      </c>
      <c r="Z305" t="s">
        <v>90</v>
      </c>
      <c r="AC305" s="81">
        <f t="shared" si="15"/>
        <v>50</v>
      </c>
    </row>
    <row r="306" spans="1:33" x14ac:dyDescent="0.3">
      <c r="Q306">
        <v>5</v>
      </c>
      <c r="R306" t="s">
        <v>124</v>
      </c>
      <c r="S306">
        <f>12*3.5</f>
        <v>42</v>
      </c>
      <c r="Z306" t="s">
        <v>124</v>
      </c>
      <c r="AC306" s="81">
        <f t="shared" si="15"/>
        <v>42</v>
      </c>
    </row>
    <row r="308" spans="1:33" x14ac:dyDescent="0.3">
      <c r="A308" s="74" t="s">
        <v>251</v>
      </c>
      <c r="B308" s="74"/>
      <c r="C308" s="74"/>
      <c r="D308" s="74"/>
      <c r="E308" s="74"/>
    </row>
    <row r="309" spans="1:33" s="74" customFormat="1" x14ac:dyDescent="0.3">
      <c r="B309" s="74">
        <v>140</v>
      </c>
      <c r="C309" s="74" t="s">
        <v>130</v>
      </c>
      <c r="F309" s="74">
        <v>130</v>
      </c>
      <c r="G309" s="74" t="s">
        <v>130</v>
      </c>
      <c r="J309" s="74">
        <v>145</v>
      </c>
      <c r="K309" s="74" t="s">
        <v>219</v>
      </c>
      <c r="N309" s="74">
        <v>130</v>
      </c>
      <c r="O309" s="74" t="s">
        <v>130</v>
      </c>
      <c r="R309" s="74">
        <v>135</v>
      </c>
      <c r="S309" s="74" t="s">
        <v>130</v>
      </c>
      <c r="U309" s="74" t="s">
        <v>50</v>
      </c>
    </row>
    <row r="310" spans="1:33" x14ac:dyDescent="0.3">
      <c r="A310">
        <v>2</v>
      </c>
      <c r="B310" t="s">
        <v>101</v>
      </c>
      <c r="C310">
        <f>17*3.5</f>
        <v>59.5</v>
      </c>
      <c r="E310">
        <v>3</v>
      </c>
      <c r="F310" t="s">
        <v>101</v>
      </c>
      <c r="G310">
        <f>15*3.5</f>
        <v>52.5</v>
      </c>
      <c r="I310">
        <v>2</v>
      </c>
      <c r="J310" t="s">
        <v>101</v>
      </c>
      <c r="K310">
        <f>17*4</f>
        <v>68</v>
      </c>
      <c r="M310">
        <v>12</v>
      </c>
      <c r="N310" t="s">
        <v>101</v>
      </c>
      <c r="O310">
        <f>5*3.5</f>
        <v>17.5</v>
      </c>
      <c r="Q310">
        <v>1</v>
      </c>
      <c r="R310" t="s">
        <v>101</v>
      </c>
      <c r="S310">
        <f>20*3.5</f>
        <v>70</v>
      </c>
      <c r="U310" s="76">
        <f>C310+G310+K310+O310+S310</f>
        <v>267.5</v>
      </c>
    </row>
    <row r="311" spans="1:33" x14ac:dyDescent="0.3">
      <c r="M311">
        <v>13</v>
      </c>
      <c r="N311" t="s">
        <v>135</v>
      </c>
      <c r="O311">
        <f>4*3.5</f>
        <v>14</v>
      </c>
      <c r="Q311">
        <v>3</v>
      </c>
      <c r="R311" t="s">
        <v>135</v>
      </c>
      <c r="S311">
        <f>15*3.5</f>
        <v>52.5</v>
      </c>
      <c r="U311" s="76">
        <f>C311+G311+K311+O311+S311</f>
        <v>66.5</v>
      </c>
    </row>
    <row r="313" spans="1:33" x14ac:dyDescent="0.3">
      <c r="A313" s="74" t="s">
        <v>253</v>
      </c>
      <c r="B313" s="74"/>
      <c r="C313" s="74"/>
      <c r="D313" s="74"/>
      <c r="E313" s="74"/>
    </row>
    <row r="314" spans="1:33" x14ac:dyDescent="0.3">
      <c r="B314">
        <v>145</v>
      </c>
      <c r="C314" t="s">
        <v>219</v>
      </c>
    </row>
    <row r="315" spans="1:33" x14ac:dyDescent="0.3">
      <c r="A315">
        <v>2</v>
      </c>
      <c r="B315" t="s">
        <v>110</v>
      </c>
      <c r="C315" s="74">
        <f>17*4</f>
        <v>68</v>
      </c>
    </row>
    <row r="317" spans="1:33" x14ac:dyDescent="0.3">
      <c r="A317" s="74" t="s">
        <v>255</v>
      </c>
    </row>
    <row r="318" spans="1:33" s="74" customFormat="1" x14ac:dyDescent="0.3">
      <c r="B318" s="74">
        <v>130</v>
      </c>
      <c r="C318" s="74" t="s">
        <v>130</v>
      </c>
      <c r="F318" s="74">
        <v>140</v>
      </c>
      <c r="G318" s="74" t="s">
        <v>130</v>
      </c>
      <c r="J318" s="74">
        <v>130</v>
      </c>
      <c r="K318" s="74" t="s">
        <v>130</v>
      </c>
      <c r="N318" s="74">
        <v>145</v>
      </c>
      <c r="O318" s="74" t="s">
        <v>219</v>
      </c>
      <c r="R318" s="74">
        <v>135</v>
      </c>
      <c r="S318" s="74" t="s">
        <v>130</v>
      </c>
      <c r="V318" s="74">
        <v>145</v>
      </c>
      <c r="W318" s="74" t="s">
        <v>219</v>
      </c>
      <c r="Z318" s="74">
        <v>135</v>
      </c>
      <c r="AA318" s="74" t="s">
        <v>130</v>
      </c>
      <c r="AD318" s="74">
        <v>145</v>
      </c>
      <c r="AE318" s="74" t="s">
        <v>219</v>
      </c>
      <c r="AG318" s="81" t="s">
        <v>50</v>
      </c>
    </row>
    <row r="319" spans="1:33" x14ac:dyDescent="0.3">
      <c r="E319">
        <v>7</v>
      </c>
      <c r="F319" t="s">
        <v>104</v>
      </c>
      <c r="G319">
        <f>10*3.5</f>
        <v>35</v>
      </c>
      <c r="Q319">
        <v>6</v>
      </c>
      <c r="R319" t="s">
        <v>104</v>
      </c>
      <c r="S319">
        <f>11*3.5</f>
        <v>38.5</v>
      </c>
      <c r="AD319" t="s">
        <v>104</v>
      </c>
      <c r="AG319" s="81">
        <f>C319+G319+K319+O319+S319+W319+AA319+AE319</f>
        <v>73.5</v>
      </c>
    </row>
    <row r="320" spans="1:33" x14ac:dyDescent="0.3">
      <c r="E320">
        <v>3</v>
      </c>
      <c r="F320" t="s">
        <v>102</v>
      </c>
      <c r="G320">
        <f>15*3.5</f>
        <v>52.5</v>
      </c>
      <c r="M320">
        <v>3</v>
      </c>
      <c r="N320" t="s">
        <v>102</v>
      </c>
      <c r="O320">
        <f>15*4</f>
        <v>60</v>
      </c>
      <c r="AC320">
        <v>14</v>
      </c>
      <c r="AD320" t="s">
        <v>102</v>
      </c>
      <c r="AE320">
        <f>3*4</f>
        <v>12</v>
      </c>
      <c r="AG320" s="81">
        <f t="shared" ref="AG320:AG324" si="16">C320+G320+K320+O320+S320+W320+AA320+AE320</f>
        <v>124.5</v>
      </c>
    </row>
    <row r="321" spans="1:33" x14ac:dyDescent="0.3">
      <c r="A321">
        <v>9</v>
      </c>
      <c r="B321" t="s">
        <v>101</v>
      </c>
      <c r="C321">
        <f>8*3.5</f>
        <v>28</v>
      </c>
      <c r="E321">
        <v>2</v>
      </c>
      <c r="F321" t="s">
        <v>101</v>
      </c>
      <c r="G321">
        <f>17*3.5</f>
        <v>59.5</v>
      </c>
      <c r="M321">
        <v>7</v>
      </c>
      <c r="N321" t="s">
        <v>101</v>
      </c>
      <c r="O321">
        <f>10*4</f>
        <v>40</v>
      </c>
      <c r="Q321">
        <v>12</v>
      </c>
      <c r="R321" t="s">
        <v>101</v>
      </c>
      <c r="S321">
        <f>5*3.5</f>
        <v>17.5</v>
      </c>
      <c r="U321">
        <v>13</v>
      </c>
      <c r="V321" t="s">
        <v>101</v>
      </c>
      <c r="W321">
        <f>4*4</f>
        <v>16</v>
      </c>
      <c r="Y321">
        <v>3</v>
      </c>
      <c r="Z321" t="s">
        <v>101</v>
      </c>
      <c r="AA321">
        <f>15*3.5</f>
        <v>52.5</v>
      </c>
      <c r="AC321">
        <v>10</v>
      </c>
      <c r="AD321" t="s">
        <v>101</v>
      </c>
      <c r="AE321">
        <f>7*4</f>
        <v>28</v>
      </c>
      <c r="AG321" s="81">
        <f t="shared" si="16"/>
        <v>241.5</v>
      </c>
    </row>
    <row r="322" spans="1:33" x14ac:dyDescent="0.3">
      <c r="A322">
        <v>4</v>
      </c>
      <c r="B322" t="s">
        <v>100</v>
      </c>
      <c r="C322">
        <f>13*3.5</f>
        <v>45.5</v>
      </c>
      <c r="E322">
        <v>1</v>
      </c>
      <c r="F322" t="s">
        <v>100</v>
      </c>
      <c r="G322">
        <f>20*3.5</f>
        <v>70</v>
      </c>
      <c r="I322">
        <v>1</v>
      </c>
      <c r="J322" t="s">
        <v>100</v>
      </c>
      <c r="K322">
        <f>20*3.5</f>
        <v>70</v>
      </c>
      <c r="U322">
        <v>1</v>
      </c>
      <c r="V322" t="s">
        <v>100</v>
      </c>
      <c r="W322">
        <f>20*4</f>
        <v>80</v>
      </c>
      <c r="Y322">
        <v>2</v>
      </c>
      <c r="Z322" t="s">
        <v>100</v>
      </c>
      <c r="AA322">
        <f>17*3.5</f>
        <v>59.5</v>
      </c>
      <c r="AD322" t="s">
        <v>100</v>
      </c>
      <c r="AG322" s="81">
        <f t="shared" si="16"/>
        <v>325</v>
      </c>
    </row>
    <row r="323" spans="1:33" x14ac:dyDescent="0.3">
      <c r="A323">
        <v>14</v>
      </c>
      <c r="B323" t="s">
        <v>225</v>
      </c>
      <c r="C323">
        <f>3*3.5</f>
        <v>10.5</v>
      </c>
      <c r="I323">
        <v>12</v>
      </c>
      <c r="J323" t="s">
        <v>225</v>
      </c>
      <c r="K323">
        <f>5*3.5</f>
        <v>17.5</v>
      </c>
      <c r="Y323">
        <v>7</v>
      </c>
      <c r="Z323" t="s">
        <v>225</v>
      </c>
      <c r="AA323">
        <f>10*3.5</f>
        <v>35</v>
      </c>
      <c r="AD323" t="s">
        <v>225</v>
      </c>
      <c r="AG323" s="81">
        <f t="shared" si="16"/>
        <v>63</v>
      </c>
    </row>
    <row r="324" spans="1:33" x14ac:dyDescent="0.3">
      <c r="I324">
        <v>7</v>
      </c>
      <c r="J324" t="s">
        <v>103</v>
      </c>
      <c r="K324">
        <f>10*3.5</f>
        <v>35</v>
      </c>
      <c r="M324">
        <v>10</v>
      </c>
      <c r="N324" t="s">
        <v>103</v>
      </c>
      <c r="O324">
        <f>7*4</f>
        <v>28</v>
      </c>
      <c r="Q324">
        <v>4</v>
      </c>
      <c r="R324" t="s">
        <v>103</v>
      </c>
      <c r="S324">
        <f>13*3.5</f>
        <v>45.5</v>
      </c>
      <c r="U324">
        <v>4</v>
      </c>
      <c r="V324" t="s">
        <v>103</v>
      </c>
      <c r="W324">
        <f>13*4</f>
        <v>52</v>
      </c>
      <c r="AC324">
        <v>15</v>
      </c>
      <c r="AD324" t="s">
        <v>103</v>
      </c>
      <c r="AE324">
        <f>2*4</f>
        <v>8</v>
      </c>
      <c r="AG324" s="81">
        <f t="shared" si="16"/>
        <v>168.5</v>
      </c>
    </row>
    <row r="325" spans="1:33" x14ac:dyDescent="0.3">
      <c r="A325" s="74" t="s">
        <v>257</v>
      </c>
    </row>
    <row r="326" spans="1:33" x14ac:dyDescent="0.3">
      <c r="B326" s="74">
        <v>130</v>
      </c>
      <c r="C326" s="74" t="s">
        <v>130</v>
      </c>
    </row>
    <row r="327" spans="1:33" x14ac:dyDescent="0.3">
      <c r="A327">
        <v>11</v>
      </c>
      <c r="B327" t="s">
        <v>128</v>
      </c>
      <c r="C327" s="74">
        <f>6*3.5</f>
        <v>21</v>
      </c>
    </row>
    <row r="329" spans="1:33" x14ac:dyDescent="0.3">
      <c r="A329" s="74" t="s">
        <v>259</v>
      </c>
    </row>
    <row r="330" spans="1:33" x14ac:dyDescent="0.3">
      <c r="A330" s="74" t="s">
        <v>250</v>
      </c>
      <c r="B330" s="74">
        <v>145</v>
      </c>
      <c r="C330" s="74" t="s">
        <v>131</v>
      </c>
      <c r="F330" s="74">
        <v>140</v>
      </c>
      <c r="G330" s="74" t="s">
        <v>132</v>
      </c>
      <c r="J330" s="74">
        <v>145</v>
      </c>
      <c r="K330" s="74" t="s">
        <v>131</v>
      </c>
      <c r="N330" s="74">
        <v>145</v>
      </c>
      <c r="O330" s="74" t="s">
        <v>131</v>
      </c>
      <c r="R330" s="74">
        <v>150</v>
      </c>
      <c r="S330" s="74" t="s">
        <v>131</v>
      </c>
      <c r="U330" s="81" t="s">
        <v>50</v>
      </c>
    </row>
    <row r="331" spans="1:33" x14ac:dyDescent="0.3">
      <c r="E331">
        <v>12</v>
      </c>
      <c r="F331" t="s">
        <v>110</v>
      </c>
      <c r="G331">
        <f>5*4.5</f>
        <v>22.5</v>
      </c>
      <c r="I331">
        <v>8</v>
      </c>
      <c r="J331" t="s">
        <v>110</v>
      </c>
      <c r="K331">
        <f>9*5</f>
        <v>45</v>
      </c>
      <c r="M331">
        <v>7</v>
      </c>
      <c r="N331" t="s">
        <v>110</v>
      </c>
      <c r="O331">
        <f>3*5</f>
        <v>15</v>
      </c>
      <c r="U331" s="81">
        <f>C331+G331+K331+O331+S331</f>
        <v>82.5</v>
      </c>
    </row>
    <row r="332" spans="1:33" x14ac:dyDescent="0.3">
      <c r="E332">
        <v>13</v>
      </c>
      <c r="F332" t="s">
        <v>100</v>
      </c>
      <c r="G332">
        <f>4*4.5</f>
        <v>18</v>
      </c>
      <c r="M332">
        <v>7</v>
      </c>
      <c r="N332" t="s">
        <v>100</v>
      </c>
      <c r="O332">
        <f t="shared" ref="O332:O334" si="17">3*5</f>
        <v>15</v>
      </c>
      <c r="Q332">
        <v>11</v>
      </c>
      <c r="R332" t="s">
        <v>100</v>
      </c>
      <c r="S332">
        <f>6*5</f>
        <v>30</v>
      </c>
      <c r="U332" s="81">
        <f t="shared" ref="U332:U333" si="18">C332+G332+K332+O332+S332</f>
        <v>63</v>
      </c>
    </row>
    <row r="333" spans="1:33" x14ac:dyDescent="0.3">
      <c r="A333">
        <v>10</v>
      </c>
      <c r="B333" t="s">
        <v>142</v>
      </c>
      <c r="C333">
        <f>7*5</f>
        <v>35</v>
      </c>
      <c r="M333">
        <v>7</v>
      </c>
      <c r="N333" t="s">
        <v>142</v>
      </c>
      <c r="O333">
        <f t="shared" si="17"/>
        <v>15</v>
      </c>
      <c r="Q333">
        <v>1</v>
      </c>
      <c r="R333" t="s">
        <v>142</v>
      </c>
      <c r="S333">
        <f>20*5</f>
        <v>100</v>
      </c>
      <c r="U333" s="81">
        <f t="shared" si="18"/>
        <v>150</v>
      </c>
    </row>
    <row r="334" spans="1:33" x14ac:dyDescent="0.3">
      <c r="M334">
        <v>7</v>
      </c>
      <c r="N334" t="s">
        <v>90</v>
      </c>
      <c r="O334">
        <f t="shared" si="17"/>
        <v>15</v>
      </c>
      <c r="U334" s="81">
        <f>C334+G334+K334+O334+S334+M337</f>
        <v>78</v>
      </c>
    </row>
    <row r="336" spans="1:33" x14ac:dyDescent="0.3">
      <c r="A336" s="74" t="s">
        <v>144</v>
      </c>
      <c r="B336" s="74">
        <v>130</v>
      </c>
      <c r="C336" s="74" t="s">
        <v>130</v>
      </c>
      <c r="F336" s="74">
        <v>130</v>
      </c>
      <c r="G336" s="74" t="s">
        <v>130</v>
      </c>
      <c r="H336" s="74"/>
      <c r="I336" s="74"/>
      <c r="J336" s="74">
        <v>130</v>
      </c>
      <c r="K336" s="74" t="s">
        <v>130</v>
      </c>
      <c r="L336" s="74"/>
      <c r="M336" s="81" t="s">
        <v>50</v>
      </c>
    </row>
    <row r="337" spans="1:21" x14ac:dyDescent="0.3">
      <c r="A337">
        <v>10</v>
      </c>
      <c r="B337" t="s">
        <v>90</v>
      </c>
      <c r="C337">
        <f>7*3.5</f>
        <v>24.5</v>
      </c>
      <c r="E337">
        <v>8</v>
      </c>
      <c r="F337" t="s">
        <v>90</v>
      </c>
      <c r="G337">
        <f>9*3.5</f>
        <v>31.5</v>
      </c>
      <c r="I337">
        <v>15</v>
      </c>
      <c r="J337" t="s">
        <v>90</v>
      </c>
      <c r="K337">
        <f>2*3.5</f>
        <v>7</v>
      </c>
      <c r="M337" s="81">
        <f>C337+G337+K337</f>
        <v>63</v>
      </c>
    </row>
    <row r="339" spans="1:21" x14ac:dyDescent="0.3">
      <c r="A339" s="74" t="s">
        <v>263</v>
      </c>
    </row>
    <row r="340" spans="1:21" x14ac:dyDescent="0.3">
      <c r="A340" s="74" t="s">
        <v>144</v>
      </c>
      <c r="B340" s="74">
        <v>135</v>
      </c>
      <c r="C340" s="74" t="s">
        <v>130</v>
      </c>
      <c r="E340" s="74" t="s">
        <v>262</v>
      </c>
      <c r="F340" s="74">
        <v>145</v>
      </c>
      <c r="G340" s="74" t="s">
        <v>134</v>
      </c>
      <c r="J340" s="74">
        <v>140</v>
      </c>
      <c r="K340" s="74" t="s">
        <v>133</v>
      </c>
      <c r="N340" s="74">
        <v>150</v>
      </c>
      <c r="O340" s="74" t="s">
        <v>134</v>
      </c>
      <c r="R340" s="74">
        <v>140</v>
      </c>
      <c r="S340" s="74" t="s">
        <v>133</v>
      </c>
      <c r="U340" s="81" t="s">
        <v>50</v>
      </c>
    </row>
    <row r="341" spans="1:21" x14ac:dyDescent="0.3">
      <c r="A341">
        <v>7</v>
      </c>
      <c r="B341" t="s">
        <v>100</v>
      </c>
      <c r="C341">
        <f>10*3.5</f>
        <v>35</v>
      </c>
      <c r="E341">
        <v>9</v>
      </c>
      <c r="F341" t="s">
        <v>100</v>
      </c>
      <c r="G341">
        <f>8*6</f>
        <v>48</v>
      </c>
      <c r="U341" s="81">
        <f>C341+G341+K341+O341+S341</f>
        <v>83</v>
      </c>
    </row>
    <row r="342" spans="1:21" x14ac:dyDescent="0.3">
      <c r="I342">
        <v>1</v>
      </c>
      <c r="J342" t="s">
        <v>110</v>
      </c>
      <c r="K342">
        <f>20*5.5</f>
        <v>110</v>
      </c>
      <c r="M342">
        <v>4</v>
      </c>
      <c r="N342" t="s">
        <v>110</v>
      </c>
      <c r="O342">
        <f>13*6</f>
        <v>78</v>
      </c>
      <c r="Q342">
        <v>3</v>
      </c>
      <c r="R342" t="s">
        <v>110</v>
      </c>
      <c r="S342">
        <f>15*5.5</f>
        <v>82.5</v>
      </c>
      <c r="U342" s="81">
        <f>C342+G342+K342+O342+S342</f>
        <v>270.5</v>
      </c>
    </row>
    <row r="343" spans="1:21" x14ac:dyDescent="0.3">
      <c r="A343" s="74" t="s">
        <v>264</v>
      </c>
    </row>
    <row r="344" spans="1:21" x14ac:dyDescent="0.3">
      <c r="B344" s="74">
        <v>135</v>
      </c>
      <c r="C344" s="74" t="s">
        <v>132</v>
      </c>
      <c r="F344" s="74">
        <v>150</v>
      </c>
      <c r="G344" s="74" t="s">
        <v>131</v>
      </c>
      <c r="I344" s="81" t="s">
        <v>50</v>
      </c>
    </row>
    <row r="345" spans="1:21" x14ac:dyDescent="0.3">
      <c r="A345">
        <v>1</v>
      </c>
      <c r="B345" t="s">
        <v>110</v>
      </c>
      <c r="C345">
        <f>20*4.5</f>
        <v>90</v>
      </c>
      <c r="E345">
        <v>10</v>
      </c>
      <c r="F345" t="s">
        <v>110</v>
      </c>
      <c r="G345">
        <f>1*5</f>
        <v>5</v>
      </c>
      <c r="I345" s="81">
        <f>C345+G345</f>
        <v>95</v>
      </c>
    </row>
    <row r="346" spans="1:21" x14ac:dyDescent="0.3">
      <c r="E346">
        <v>10</v>
      </c>
      <c r="F346" t="s">
        <v>100</v>
      </c>
      <c r="G346">
        <f t="shared" ref="G346:G348" si="19">1*5</f>
        <v>5</v>
      </c>
      <c r="I346" s="81">
        <f t="shared" ref="I346:I348" si="20">C346+G346</f>
        <v>5</v>
      </c>
    </row>
    <row r="347" spans="1:21" x14ac:dyDescent="0.3">
      <c r="E347">
        <v>10</v>
      </c>
      <c r="F347" t="s">
        <v>142</v>
      </c>
      <c r="G347">
        <f t="shared" si="19"/>
        <v>5</v>
      </c>
      <c r="I347" s="81">
        <f t="shared" si="20"/>
        <v>5</v>
      </c>
    </row>
    <row r="348" spans="1:21" x14ac:dyDescent="0.3">
      <c r="E348">
        <v>10</v>
      </c>
      <c r="F348" t="s">
        <v>90</v>
      </c>
      <c r="G348">
        <f t="shared" si="19"/>
        <v>5</v>
      </c>
      <c r="I348" s="81">
        <f t="shared" si="20"/>
        <v>5</v>
      </c>
    </row>
    <row r="350" spans="1:21" x14ac:dyDescent="0.3">
      <c r="A350" s="74" t="s">
        <v>266</v>
      </c>
    </row>
    <row r="351" spans="1:21" x14ac:dyDescent="0.3">
      <c r="B351" s="74">
        <v>140</v>
      </c>
      <c r="C351" s="74" t="s">
        <v>130</v>
      </c>
      <c r="F351" s="74">
        <v>135</v>
      </c>
      <c r="G351" s="74" t="s">
        <v>130</v>
      </c>
      <c r="I351" s="76" t="s">
        <v>50</v>
      </c>
    </row>
    <row r="352" spans="1:21" x14ac:dyDescent="0.3">
      <c r="A352">
        <v>3</v>
      </c>
      <c r="B352" t="s">
        <v>124</v>
      </c>
      <c r="C352">
        <f>15*3.5</f>
        <v>52.5</v>
      </c>
      <c r="E352">
        <v>9</v>
      </c>
      <c r="F352" t="s">
        <v>124</v>
      </c>
      <c r="G352">
        <f>3*3.5</f>
        <v>10.5</v>
      </c>
      <c r="I352" s="76">
        <f>C352+G352</f>
        <v>63</v>
      </c>
    </row>
    <row r="354" spans="1:29" x14ac:dyDescent="0.3">
      <c r="A354" s="74" t="s">
        <v>268</v>
      </c>
    </row>
    <row r="355" spans="1:29" x14ac:dyDescent="0.3">
      <c r="B355" s="74">
        <v>135</v>
      </c>
      <c r="C355" s="74" t="s">
        <v>132</v>
      </c>
    </row>
    <row r="356" spans="1:29" x14ac:dyDescent="0.3">
      <c r="A356">
        <v>8</v>
      </c>
      <c r="B356" t="s">
        <v>123</v>
      </c>
      <c r="C356" s="74">
        <f>9*4.5</f>
        <v>40.5</v>
      </c>
    </row>
    <row r="358" spans="1:29" x14ac:dyDescent="0.3">
      <c r="A358" s="74" t="s">
        <v>271</v>
      </c>
    </row>
    <row r="359" spans="1:29" x14ac:dyDescent="0.3">
      <c r="A359" s="74" t="s">
        <v>231</v>
      </c>
      <c r="B359" s="74" t="s">
        <v>137</v>
      </c>
      <c r="C359" s="74" t="s">
        <v>130</v>
      </c>
      <c r="E359" s="74" t="s">
        <v>226</v>
      </c>
      <c r="F359" s="74">
        <v>130</v>
      </c>
      <c r="G359" s="74" t="s">
        <v>130</v>
      </c>
      <c r="J359" s="74">
        <v>140</v>
      </c>
      <c r="K359" s="74" t="s">
        <v>130</v>
      </c>
      <c r="N359" s="74">
        <v>130</v>
      </c>
      <c r="O359" s="74" t="s">
        <v>130</v>
      </c>
      <c r="R359" s="74">
        <v>145</v>
      </c>
      <c r="S359" s="74" t="s">
        <v>219</v>
      </c>
      <c r="V359" s="74">
        <v>135</v>
      </c>
      <c r="W359" s="74" t="s">
        <v>130</v>
      </c>
      <c r="Z359" s="74">
        <v>145</v>
      </c>
      <c r="AA359" s="74" t="s">
        <v>219</v>
      </c>
      <c r="AC359" s="76" t="s">
        <v>50</v>
      </c>
    </row>
    <row r="360" spans="1:29" x14ac:dyDescent="0.3">
      <c r="E360">
        <v>2</v>
      </c>
      <c r="F360" t="s">
        <v>110</v>
      </c>
      <c r="G360">
        <f>17*3.5</f>
        <v>59.5</v>
      </c>
      <c r="U360">
        <v>1</v>
      </c>
      <c r="V360" t="s">
        <v>110</v>
      </c>
      <c r="W360">
        <f>20*3.5</f>
        <v>70</v>
      </c>
      <c r="Y360">
        <v>2</v>
      </c>
      <c r="Z360" t="s">
        <v>110</v>
      </c>
      <c r="AA360">
        <f>17*4</f>
        <v>68</v>
      </c>
      <c r="AC360" s="76">
        <f>C360+G360+K360+O360+S360+W360+AA360</f>
        <v>197.5</v>
      </c>
    </row>
    <row r="361" spans="1:29" x14ac:dyDescent="0.3">
      <c r="E361">
        <v>7</v>
      </c>
      <c r="F361" t="s">
        <v>101</v>
      </c>
      <c r="G361">
        <f>10*3.5</f>
        <v>35</v>
      </c>
      <c r="Q361">
        <v>15</v>
      </c>
      <c r="R361" t="s">
        <v>101</v>
      </c>
      <c r="S361">
        <f>2*4</f>
        <v>8</v>
      </c>
      <c r="U361">
        <v>6</v>
      </c>
      <c r="V361" t="s">
        <v>101</v>
      </c>
      <c r="W361">
        <f>11*3.5</f>
        <v>38.5</v>
      </c>
      <c r="Y361">
        <v>4</v>
      </c>
      <c r="Z361" t="s">
        <v>101</v>
      </c>
      <c r="AA361">
        <f>13*4</f>
        <v>52</v>
      </c>
      <c r="AC361" s="76">
        <f t="shared" ref="AC361:AC368" si="21">C361+G361+K361+O361+S361+W361+AA361</f>
        <v>133.5</v>
      </c>
    </row>
    <row r="362" spans="1:29" x14ac:dyDescent="0.3">
      <c r="A362">
        <v>2</v>
      </c>
      <c r="B362" t="s">
        <v>100</v>
      </c>
      <c r="C362">
        <f>17*3.5</f>
        <v>59.5</v>
      </c>
      <c r="I362">
        <v>15</v>
      </c>
      <c r="J362" t="s">
        <v>100</v>
      </c>
      <c r="K362">
        <f>2*3.5</f>
        <v>7</v>
      </c>
      <c r="M362">
        <v>5</v>
      </c>
      <c r="N362" t="s">
        <v>100</v>
      </c>
      <c r="O362">
        <f>12*3.5</f>
        <v>42</v>
      </c>
      <c r="U362">
        <v>2</v>
      </c>
      <c r="V362" t="s">
        <v>100</v>
      </c>
      <c r="W362">
        <f>17*3.5</f>
        <v>59.5</v>
      </c>
      <c r="Y362">
        <v>14</v>
      </c>
      <c r="Z362" t="s">
        <v>100</v>
      </c>
      <c r="AA362">
        <f>3*4</f>
        <v>12</v>
      </c>
      <c r="AC362" s="76">
        <f t="shared" si="21"/>
        <v>180</v>
      </c>
    </row>
    <row r="363" spans="1:29" x14ac:dyDescent="0.3">
      <c r="E363">
        <v>13</v>
      </c>
      <c r="F363" t="s">
        <v>102</v>
      </c>
      <c r="G363">
        <f>4*3.5</f>
        <v>14</v>
      </c>
      <c r="I363">
        <v>11</v>
      </c>
      <c r="J363" t="s">
        <v>102</v>
      </c>
      <c r="K363">
        <f>6*3.5</f>
        <v>21</v>
      </c>
      <c r="M363">
        <v>10</v>
      </c>
      <c r="N363" t="s">
        <v>102</v>
      </c>
      <c r="O363">
        <f>7*3.5</f>
        <v>24.5</v>
      </c>
      <c r="Q363">
        <v>9</v>
      </c>
      <c r="R363" t="s">
        <v>102</v>
      </c>
      <c r="S363">
        <f>8*4</f>
        <v>32</v>
      </c>
      <c r="Z363" t="s">
        <v>102</v>
      </c>
      <c r="AC363" s="76">
        <f t="shared" si="21"/>
        <v>91.5</v>
      </c>
    </row>
    <row r="364" spans="1:29" x14ac:dyDescent="0.3">
      <c r="I364">
        <v>2</v>
      </c>
      <c r="J364" t="s">
        <v>105</v>
      </c>
      <c r="K364">
        <f>17*3.5</f>
        <v>59.5</v>
      </c>
      <c r="Q364">
        <v>5</v>
      </c>
      <c r="R364" t="s">
        <v>105</v>
      </c>
      <c r="S364">
        <f>12*4</f>
        <v>48</v>
      </c>
      <c r="Z364" t="s">
        <v>105</v>
      </c>
      <c r="AC364" s="76">
        <f t="shared" si="21"/>
        <v>107.5</v>
      </c>
    </row>
    <row r="365" spans="1:29" x14ac:dyDescent="0.3">
      <c r="I365">
        <v>16</v>
      </c>
      <c r="J365" t="s">
        <v>140</v>
      </c>
      <c r="K365">
        <f>1*3.5</f>
        <v>3.5</v>
      </c>
      <c r="Z365" t="s">
        <v>140</v>
      </c>
      <c r="AC365" s="76">
        <f t="shared" si="21"/>
        <v>3.5</v>
      </c>
    </row>
    <row r="366" spans="1:29" x14ac:dyDescent="0.3">
      <c r="I366">
        <v>5</v>
      </c>
      <c r="J366" t="s">
        <v>225</v>
      </c>
      <c r="K366">
        <f>12*3.5</f>
        <v>42</v>
      </c>
      <c r="Z366" t="s">
        <v>225</v>
      </c>
      <c r="AC366" s="76">
        <f t="shared" si="21"/>
        <v>42</v>
      </c>
    </row>
    <row r="367" spans="1:29" x14ac:dyDescent="0.3">
      <c r="A367">
        <v>4</v>
      </c>
      <c r="B367" t="s">
        <v>116</v>
      </c>
      <c r="C367">
        <f>13*3.5</f>
        <v>45.5</v>
      </c>
      <c r="Z367" t="s">
        <v>116</v>
      </c>
      <c r="AC367" s="76">
        <f t="shared" si="21"/>
        <v>45.5</v>
      </c>
    </row>
    <row r="368" spans="1:29" x14ac:dyDescent="0.3">
      <c r="A368">
        <v>7</v>
      </c>
      <c r="B368" t="s">
        <v>112</v>
      </c>
      <c r="C368">
        <f>10*3.5</f>
        <v>35</v>
      </c>
      <c r="Z368" t="s">
        <v>112</v>
      </c>
      <c r="AC368" s="76">
        <f t="shared" si="21"/>
        <v>35</v>
      </c>
    </row>
    <row r="369" spans="1:29" x14ac:dyDescent="0.3">
      <c r="AC369" s="76"/>
    </row>
    <row r="370" spans="1:29" x14ac:dyDescent="0.3">
      <c r="A370" s="74" t="s">
        <v>273</v>
      </c>
    </row>
    <row r="371" spans="1:29" s="74" customFormat="1" x14ac:dyDescent="0.3">
      <c r="B371" s="74">
        <v>130</v>
      </c>
      <c r="C371" s="74" t="s">
        <v>130</v>
      </c>
      <c r="F371" s="74">
        <v>140</v>
      </c>
      <c r="G371" s="74" t="s">
        <v>130</v>
      </c>
      <c r="J371" s="74">
        <v>130</v>
      </c>
      <c r="K371" s="74" t="s">
        <v>130</v>
      </c>
      <c r="N371" s="74">
        <v>145</v>
      </c>
      <c r="O371" s="74" t="s">
        <v>219</v>
      </c>
      <c r="R371" s="74">
        <v>135</v>
      </c>
      <c r="S371" s="74" t="s">
        <v>130</v>
      </c>
      <c r="V371" s="74">
        <v>150</v>
      </c>
      <c r="W371" s="74" t="s">
        <v>219</v>
      </c>
      <c r="Y371" s="74" t="s">
        <v>50</v>
      </c>
    </row>
    <row r="372" spans="1:29" x14ac:dyDescent="0.3">
      <c r="A372">
        <v>2</v>
      </c>
      <c r="B372" t="s">
        <v>110</v>
      </c>
      <c r="C372">
        <f>17*3.5</f>
        <v>59.5</v>
      </c>
      <c r="E372">
        <v>12</v>
      </c>
      <c r="F372" t="s">
        <v>110</v>
      </c>
      <c r="G372">
        <f>5*3.5</f>
        <v>17.5</v>
      </c>
      <c r="I372">
        <v>1</v>
      </c>
      <c r="J372" t="s">
        <v>110</v>
      </c>
      <c r="K372">
        <f>20*3.5</f>
        <v>70</v>
      </c>
      <c r="Q372">
        <v>2</v>
      </c>
      <c r="R372" t="s">
        <v>110</v>
      </c>
      <c r="S372">
        <f>17*3.5</f>
        <v>59.5</v>
      </c>
      <c r="U372">
        <v>15</v>
      </c>
      <c r="V372" t="s">
        <v>110</v>
      </c>
      <c r="W372">
        <f>2*4</f>
        <v>8</v>
      </c>
      <c r="Y372" s="76">
        <f>C372+G372+K372+O372+S372+W372</f>
        <v>214.5</v>
      </c>
    </row>
    <row r="373" spans="1:29" x14ac:dyDescent="0.3">
      <c r="M373">
        <v>10</v>
      </c>
      <c r="N373" t="s">
        <v>102</v>
      </c>
      <c r="O373">
        <f>7*4</f>
        <v>28</v>
      </c>
      <c r="U373">
        <v>6</v>
      </c>
      <c r="V373" t="s">
        <v>102</v>
      </c>
      <c r="W373">
        <f>11*4</f>
        <v>44</v>
      </c>
      <c r="Y373" s="76">
        <f t="shared" ref="Y373:Y378" si="22">C373+G373+K373+O373+S373+W373</f>
        <v>72</v>
      </c>
    </row>
    <row r="374" spans="1:29" x14ac:dyDescent="0.3">
      <c r="A374">
        <v>1</v>
      </c>
      <c r="B374" t="s">
        <v>100</v>
      </c>
      <c r="C374">
        <f>20*3.5</f>
        <v>70</v>
      </c>
      <c r="E374">
        <v>2</v>
      </c>
      <c r="F374" t="s">
        <v>100</v>
      </c>
      <c r="G374">
        <f>17*3.5</f>
        <v>59.5</v>
      </c>
      <c r="M374">
        <v>6</v>
      </c>
      <c r="N374" t="s">
        <v>100</v>
      </c>
      <c r="O374">
        <f>11*4</f>
        <v>44</v>
      </c>
      <c r="U374">
        <v>11</v>
      </c>
      <c r="V374" t="s">
        <v>100</v>
      </c>
      <c r="W374">
        <f>6*4</f>
        <v>24</v>
      </c>
      <c r="Y374" s="76">
        <f t="shared" si="22"/>
        <v>197.5</v>
      </c>
    </row>
    <row r="375" spans="1:29" x14ac:dyDescent="0.3">
      <c r="A375">
        <v>12</v>
      </c>
      <c r="B375" t="s">
        <v>225</v>
      </c>
      <c r="C375">
        <f>5*3.5</f>
        <v>17.5</v>
      </c>
      <c r="I375">
        <v>3</v>
      </c>
      <c r="J375" t="s">
        <v>225</v>
      </c>
      <c r="K375">
        <f>15*3.5</f>
        <v>52.5</v>
      </c>
      <c r="Q375">
        <v>5</v>
      </c>
      <c r="R375" t="s">
        <v>225</v>
      </c>
      <c r="S375">
        <f>12*3.5</f>
        <v>42</v>
      </c>
      <c r="U375">
        <v>16</v>
      </c>
      <c r="V375" t="s">
        <v>225</v>
      </c>
      <c r="W375">
        <f>1*4</f>
        <v>4</v>
      </c>
      <c r="Y375" s="76">
        <f t="shared" si="22"/>
        <v>116</v>
      </c>
    </row>
    <row r="376" spans="1:29" x14ac:dyDescent="0.3">
      <c r="E376">
        <v>10</v>
      </c>
      <c r="F376" t="s">
        <v>135</v>
      </c>
      <c r="G376">
        <f>7*3.5</f>
        <v>24.5</v>
      </c>
      <c r="M376">
        <v>15</v>
      </c>
      <c r="N376" t="s">
        <v>135</v>
      </c>
      <c r="O376">
        <f>2*4</f>
        <v>8</v>
      </c>
      <c r="Q376">
        <v>11</v>
      </c>
      <c r="R376" t="s">
        <v>135</v>
      </c>
      <c r="S376">
        <f>6*3.5</f>
        <v>21</v>
      </c>
      <c r="V376" t="s">
        <v>135</v>
      </c>
      <c r="Y376" s="76">
        <f t="shared" si="22"/>
        <v>53.5</v>
      </c>
    </row>
    <row r="377" spans="1:29" x14ac:dyDescent="0.3">
      <c r="E377">
        <v>4</v>
      </c>
      <c r="F377" t="s">
        <v>86</v>
      </c>
      <c r="G377">
        <f>13*3.5</f>
        <v>45.5</v>
      </c>
      <c r="V377" t="s">
        <v>86</v>
      </c>
      <c r="Y377" s="76">
        <f t="shared" si="22"/>
        <v>45.5</v>
      </c>
    </row>
    <row r="378" spans="1:29" x14ac:dyDescent="0.3">
      <c r="A378">
        <v>14</v>
      </c>
      <c r="B378" t="s">
        <v>115</v>
      </c>
      <c r="C378">
        <f>3*3.5</f>
        <v>10.5</v>
      </c>
      <c r="V378" t="s">
        <v>115</v>
      </c>
      <c r="Y378" s="76">
        <f t="shared" si="22"/>
        <v>10.5</v>
      </c>
    </row>
    <row r="380" spans="1:29" x14ac:dyDescent="0.3">
      <c r="A380" s="74" t="s">
        <v>274</v>
      </c>
    </row>
    <row r="381" spans="1:29" s="74" customFormat="1" x14ac:dyDescent="0.3">
      <c r="A381" s="74" t="s">
        <v>226</v>
      </c>
      <c r="B381" s="74">
        <v>130</v>
      </c>
      <c r="C381" s="74" t="s">
        <v>130</v>
      </c>
      <c r="F381" s="74">
        <v>130</v>
      </c>
      <c r="G381" s="74" t="s">
        <v>130</v>
      </c>
      <c r="J381" s="74">
        <v>135</v>
      </c>
      <c r="K381" s="74" t="s">
        <v>130</v>
      </c>
      <c r="N381" s="74">
        <v>140</v>
      </c>
      <c r="O381" s="74" t="s">
        <v>130</v>
      </c>
      <c r="R381" s="74">
        <v>140</v>
      </c>
      <c r="S381" s="74" t="s">
        <v>130</v>
      </c>
      <c r="U381" s="74" t="s">
        <v>50</v>
      </c>
    </row>
    <row r="382" spans="1:29" x14ac:dyDescent="0.3">
      <c r="A382">
        <v>3</v>
      </c>
      <c r="B382" t="s">
        <v>124</v>
      </c>
      <c r="C382">
        <f>15*3.5</f>
        <v>52.5</v>
      </c>
      <c r="I382">
        <v>8</v>
      </c>
      <c r="J382" t="s">
        <v>124</v>
      </c>
      <c r="K382">
        <f>9*3.5</f>
        <v>31.5</v>
      </c>
      <c r="M382">
        <v>1</v>
      </c>
      <c r="N382" t="s">
        <v>124</v>
      </c>
      <c r="O382">
        <f>20*3.5</f>
        <v>70</v>
      </c>
      <c r="Q382">
        <v>7</v>
      </c>
      <c r="R382" t="s">
        <v>124</v>
      </c>
      <c r="S382">
        <f>10*3.5</f>
        <v>35</v>
      </c>
      <c r="U382" s="76">
        <f>C382+G382+K382+O382+S382</f>
        <v>189</v>
      </c>
    </row>
    <row r="383" spans="1:29" x14ac:dyDescent="0.3">
      <c r="E383">
        <v>1</v>
      </c>
      <c r="F383" t="s">
        <v>110</v>
      </c>
      <c r="G383">
        <f>20*3.5</f>
        <v>70</v>
      </c>
      <c r="U383" s="76">
        <f>C383+G383+K383+O383+S383</f>
        <v>70</v>
      </c>
    </row>
    <row r="385" spans="1:17" x14ac:dyDescent="0.3">
      <c r="A385" s="74" t="s">
        <v>276</v>
      </c>
    </row>
    <row r="386" spans="1:17" s="74" customFormat="1" x14ac:dyDescent="0.3">
      <c r="B386" s="74">
        <v>135</v>
      </c>
      <c r="C386" s="74" t="s">
        <v>130</v>
      </c>
      <c r="F386" s="74">
        <v>140</v>
      </c>
      <c r="G386" s="74" t="s">
        <v>130</v>
      </c>
      <c r="I386" s="74" t="s">
        <v>50</v>
      </c>
    </row>
    <row r="387" spans="1:17" x14ac:dyDescent="0.3">
      <c r="A387">
        <v>1</v>
      </c>
      <c r="B387" t="s">
        <v>124</v>
      </c>
      <c r="C387">
        <f>20*3.5</f>
        <v>70</v>
      </c>
      <c r="E387">
        <v>6</v>
      </c>
      <c r="F387" t="s">
        <v>124</v>
      </c>
      <c r="G387">
        <f>11*3.5</f>
        <v>38.5</v>
      </c>
      <c r="I387" s="76">
        <f>C387+G387</f>
        <v>108.5</v>
      </c>
    </row>
    <row r="389" spans="1:17" x14ac:dyDescent="0.3">
      <c r="A389" s="74" t="s">
        <v>279</v>
      </c>
    </row>
    <row r="390" spans="1:17" x14ac:dyDescent="0.3">
      <c r="B390" s="74">
        <v>140</v>
      </c>
      <c r="C390" s="74" t="s">
        <v>130</v>
      </c>
    </row>
    <row r="391" spans="1:17" x14ac:dyDescent="0.3">
      <c r="A391">
        <v>11</v>
      </c>
      <c r="B391" t="s">
        <v>123</v>
      </c>
      <c r="C391" s="74">
        <f>6*3.5</f>
        <v>21</v>
      </c>
    </row>
    <row r="393" spans="1:17" x14ac:dyDescent="0.3">
      <c r="A393" s="74" t="s">
        <v>280</v>
      </c>
    </row>
    <row r="394" spans="1:17" x14ac:dyDescent="0.3">
      <c r="B394" s="74">
        <v>145</v>
      </c>
      <c r="C394" s="74" t="s">
        <v>134</v>
      </c>
    </row>
    <row r="395" spans="1:17" x14ac:dyDescent="0.3">
      <c r="A395">
        <v>6</v>
      </c>
      <c r="B395" t="s">
        <v>110</v>
      </c>
      <c r="C395">
        <f>10*6</f>
        <v>60</v>
      </c>
    </row>
    <row r="397" spans="1:17" x14ac:dyDescent="0.3">
      <c r="A397" s="74" t="s">
        <v>282</v>
      </c>
    </row>
    <row r="398" spans="1:17" s="74" customFormat="1" x14ac:dyDescent="0.3">
      <c r="A398" s="74" t="s">
        <v>143</v>
      </c>
      <c r="B398" s="74">
        <v>150</v>
      </c>
      <c r="C398" s="74" t="s">
        <v>131</v>
      </c>
      <c r="F398" s="74">
        <v>140</v>
      </c>
      <c r="G398" s="74" t="s">
        <v>132</v>
      </c>
      <c r="I398" s="74" t="s">
        <v>144</v>
      </c>
      <c r="J398" s="74">
        <v>130</v>
      </c>
      <c r="K398" s="74" t="s">
        <v>130</v>
      </c>
      <c r="N398" s="74">
        <v>135</v>
      </c>
      <c r="O398" s="74" t="s">
        <v>130</v>
      </c>
      <c r="Q398" s="74" t="s">
        <v>50</v>
      </c>
    </row>
    <row r="399" spans="1:17" x14ac:dyDescent="0.3">
      <c r="A399">
        <v>7</v>
      </c>
      <c r="B399" t="s">
        <v>110</v>
      </c>
      <c r="C399">
        <f>10*5</f>
        <v>50</v>
      </c>
      <c r="E399">
        <v>3</v>
      </c>
      <c r="F399" t="s">
        <v>110</v>
      </c>
      <c r="G399">
        <f>15*4.5</f>
        <v>67.5</v>
      </c>
      <c r="I399">
        <v>3</v>
      </c>
      <c r="J399" t="s">
        <v>110</v>
      </c>
      <c r="K399">
        <f>15*3.5</f>
        <v>52.5</v>
      </c>
      <c r="M399">
        <v>9</v>
      </c>
      <c r="N399" t="s">
        <v>110</v>
      </c>
      <c r="O399">
        <f>8*3.5</f>
        <v>28</v>
      </c>
      <c r="Q399" s="76">
        <f>C399+G399+K399+O399</f>
        <v>198</v>
      </c>
    </row>
    <row r="401" spans="1:29" x14ac:dyDescent="0.3">
      <c r="A401" s="74" t="s">
        <v>284</v>
      </c>
    </row>
    <row r="402" spans="1:29" s="74" customFormat="1" x14ac:dyDescent="0.3">
      <c r="A402" s="74" t="s">
        <v>226</v>
      </c>
      <c r="B402" s="74">
        <v>130</v>
      </c>
      <c r="C402" s="74" t="s">
        <v>130</v>
      </c>
      <c r="F402" s="74">
        <v>140</v>
      </c>
      <c r="G402" s="74" t="s">
        <v>130</v>
      </c>
      <c r="J402" s="74">
        <v>135</v>
      </c>
      <c r="K402" s="74" t="s">
        <v>130</v>
      </c>
      <c r="N402" s="74">
        <v>145</v>
      </c>
      <c r="O402" s="74" t="s">
        <v>219</v>
      </c>
      <c r="R402" s="74">
        <v>130</v>
      </c>
      <c r="S402" s="74" t="s">
        <v>130</v>
      </c>
      <c r="V402" s="74">
        <v>140</v>
      </c>
      <c r="W402" s="74" t="s">
        <v>130</v>
      </c>
      <c r="Z402" s="74">
        <v>150</v>
      </c>
      <c r="AA402" s="74" t="s">
        <v>219</v>
      </c>
      <c r="AC402" s="76" t="s">
        <v>50</v>
      </c>
    </row>
    <row r="403" spans="1:29" x14ac:dyDescent="0.3">
      <c r="E403">
        <v>2</v>
      </c>
      <c r="F403" t="s">
        <v>110</v>
      </c>
      <c r="G403">
        <f>17*3.5</f>
        <v>59.5</v>
      </c>
      <c r="I403">
        <v>2</v>
      </c>
      <c r="J403" t="s">
        <v>110</v>
      </c>
      <c r="K403">
        <f>17*3.5</f>
        <v>59.5</v>
      </c>
      <c r="Q403">
        <v>10</v>
      </c>
      <c r="R403" t="s">
        <v>110</v>
      </c>
      <c r="S403">
        <f>7*3.5</f>
        <v>24.5</v>
      </c>
      <c r="Y403">
        <v>4</v>
      </c>
      <c r="Z403" t="s">
        <v>110</v>
      </c>
      <c r="AA403">
        <f>13*4</f>
        <v>52</v>
      </c>
      <c r="AC403" s="81">
        <f>C403+G403+K403+O403+S403+W403+AA403</f>
        <v>195.5</v>
      </c>
    </row>
    <row r="404" spans="1:29" x14ac:dyDescent="0.3">
      <c r="E404">
        <v>8</v>
      </c>
      <c r="F404" t="s">
        <v>142</v>
      </c>
      <c r="G404">
        <f>9*3.5</f>
        <v>31.5</v>
      </c>
      <c r="M404">
        <v>12</v>
      </c>
      <c r="N404" t="s">
        <v>142</v>
      </c>
      <c r="O404">
        <f>5*4</f>
        <v>20</v>
      </c>
      <c r="Y404">
        <v>12</v>
      </c>
      <c r="Z404" t="s">
        <v>142</v>
      </c>
      <c r="AA404">
        <f>5*4</f>
        <v>20</v>
      </c>
      <c r="AC404" s="81">
        <f t="shared" ref="AC404:AC407" si="23">C404+G404+K404+O404+S404+W404+AA404</f>
        <v>71.5</v>
      </c>
    </row>
    <row r="405" spans="1:29" x14ac:dyDescent="0.3">
      <c r="A405">
        <v>4</v>
      </c>
      <c r="B405" t="s">
        <v>100</v>
      </c>
      <c r="C405">
        <f>13*3.5</f>
        <v>45.5</v>
      </c>
      <c r="E405">
        <v>6</v>
      </c>
      <c r="F405" t="s">
        <v>100</v>
      </c>
      <c r="G405">
        <f>11*3.5</f>
        <v>38.5</v>
      </c>
      <c r="I405">
        <v>3</v>
      </c>
      <c r="J405" t="s">
        <v>100</v>
      </c>
      <c r="K405">
        <f>15*3.5</f>
        <v>52.5</v>
      </c>
      <c r="U405">
        <v>2</v>
      </c>
      <c r="V405" t="s">
        <v>100</v>
      </c>
      <c r="W405">
        <f>17*3.5</f>
        <v>59.5</v>
      </c>
      <c r="Y405">
        <v>10</v>
      </c>
      <c r="Z405" t="s">
        <v>100</v>
      </c>
      <c r="AA405">
        <f>7*4</f>
        <v>28</v>
      </c>
      <c r="AC405" s="81">
        <f>C405+G405+K405+O405+S405+W405+AA405+I416</f>
        <v>283.5</v>
      </c>
    </row>
    <row r="406" spans="1:29" x14ac:dyDescent="0.3">
      <c r="A406">
        <v>13</v>
      </c>
      <c r="B406" t="s">
        <v>102</v>
      </c>
      <c r="C406">
        <f>4*3.5</f>
        <v>14</v>
      </c>
      <c r="I406">
        <v>10</v>
      </c>
      <c r="J406" t="s">
        <v>102</v>
      </c>
      <c r="K406">
        <f>7*3.5</f>
        <v>24.5</v>
      </c>
      <c r="U406">
        <v>10</v>
      </c>
      <c r="V406" t="s">
        <v>102</v>
      </c>
      <c r="W406">
        <f>7*3.5</f>
        <v>24.5</v>
      </c>
      <c r="Z406" t="s">
        <v>102</v>
      </c>
      <c r="AC406" s="81">
        <f t="shared" si="23"/>
        <v>63</v>
      </c>
    </row>
    <row r="407" spans="1:29" x14ac:dyDescent="0.3">
      <c r="A407">
        <v>8</v>
      </c>
      <c r="B407" t="s">
        <v>140</v>
      </c>
      <c r="C407">
        <f>9*3.5</f>
        <v>31.5</v>
      </c>
      <c r="I407">
        <v>5</v>
      </c>
      <c r="J407" t="s">
        <v>140</v>
      </c>
      <c r="K407">
        <f>12*3.5</f>
        <v>42</v>
      </c>
      <c r="Z407" t="s">
        <v>140</v>
      </c>
      <c r="AC407" s="81">
        <f t="shared" si="23"/>
        <v>73.5</v>
      </c>
    </row>
    <row r="408" spans="1:29" x14ac:dyDescent="0.3">
      <c r="A408">
        <v>9</v>
      </c>
      <c r="B408" t="s">
        <v>225</v>
      </c>
      <c r="C408">
        <f>8*3.5</f>
        <v>28</v>
      </c>
      <c r="Y408">
        <v>2</v>
      </c>
      <c r="Z408" t="s">
        <v>225</v>
      </c>
      <c r="AA408">
        <f>17*4</f>
        <v>68</v>
      </c>
      <c r="AC408" s="81">
        <f>C408+G408+K408+O408+S408+W408+AA408+I418</f>
        <v>159</v>
      </c>
    </row>
    <row r="409" spans="1:29" x14ac:dyDescent="0.3">
      <c r="M409">
        <v>7</v>
      </c>
      <c r="N409" t="s">
        <v>101</v>
      </c>
      <c r="O409">
        <f>10*4</f>
        <v>40</v>
      </c>
      <c r="U409">
        <v>1</v>
      </c>
      <c r="V409" t="s">
        <v>101</v>
      </c>
      <c r="W409">
        <f>20*3.5</f>
        <v>70</v>
      </c>
      <c r="Z409" t="s">
        <v>101</v>
      </c>
      <c r="AC409" s="81">
        <f>C409+G409+K409+O409+S409+W409+AA409+I414</f>
        <v>145</v>
      </c>
    </row>
    <row r="410" spans="1:29" x14ac:dyDescent="0.3">
      <c r="I410">
        <v>9</v>
      </c>
      <c r="J410" t="s">
        <v>103</v>
      </c>
      <c r="K410">
        <f>8*3.5</f>
        <v>28</v>
      </c>
      <c r="U410">
        <v>6</v>
      </c>
      <c r="V410" t="s">
        <v>103</v>
      </c>
      <c r="W410">
        <f>11*3.5</f>
        <v>38.5</v>
      </c>
      <c r="Z410" t="s">
        <v>103</v>
      </c>
      <c r="AC410" s="81">
        <f>C410+G410+K410+O410+S410+W410+AA410+I413</f>
        <v>112</v>
      </c>
    </row>
    <row r="411" spans="1:29" x14ac:dyDescent="0.3">
      <c r="Z411" t="s">
        <v>122</v>
      </c>
      <c r="AC411" s="76">
        <f>I415</f>
        <v>140</v>
      </c>
    </row>
    <row r="412" spans="1:29" s="74" customFormat="1" x14ac:dyDescent="0.3">
      <c r="A412" s="74" t="s">
        <v>231</v>
      </c>
      <c r="B412" s="74" t="s">
        <v>232</v>
      </c>
      <c r="C412" s="74" t="s">
        <v>130</v>
      </c>
      <c r="F412" s="74" t="s">
        <v>232</v>
      </c>
      <c r="G412" s="74" t="s">
        <v>130</v>
      </c>
      <c r="I412" s="76" t="s">
        <v>50</v>
      </c>
      <c r="Z412" t="s">
        <v>90</v>
      </c>
      <c r="AC412" s="76">
        <f>I417</f>
        <v>17.5</v>
      </c>
    </row>
    <row r="413" spans="1:29" x14ac:dyDescent="0.3">
      <c r="A413">
        <v>6</v>
      </c>
      <c r="B413" t="s">
        <v>103</v>
      </c>
      <c r="C413">
        <f>11*3.5</f>
        <v>38.5</v>
      </c>
      <c r="E413">
        <v>15</v>
      </c>
      <c r="F413" t="s">
        <v>103</v>
      </c>
      <c r="G413">
        <f>2*3.5</f>
        <v>7</v>
      </c>
      <c r="I413" s="76">
        <f>C413+G413</f>
        <v>45.5</v>
      </c>
    </row>
    <row r="414" spans="1:29" x14ac:dyDescent="0.3">
      <c r="E414">
        <v>7</v>
      </c>
      <c r="F414" t="s">
        <v>101</v>
      </c>
      <c r="G414">
        <f>10*3.5</f>
        <v>35</v>
      </c>
      <c r="I414" s="76">
        <f t="shared" ref="I414:I418" si="24">C414+G414</f>
        <v>35</v>
      </c>
    </row>
    <row r="415" spans="1:29" x14ac:dyDescent="0.3">
      <c r="A415">
        <v>1</v>
      </c>
      <c r="B415" t="s">
        <v>122</v>
      </c>
      <c r="C415">
        <f>20*3.5</f>
        <v>70</v>
      </c>
      <c r="E415">
        <v>1</v>
      </c>
      <c r="F415" t="s">
        <v>122</v>
      </c>
      <c r="G415">
        <f>20*3.5</f>
        <v>70</v>
      </c>
      <c r="I415" s="76">
        <f t="shared" si="24"/>
        <v>140</v>
      </c>
    </row>
    <row r="416" spans="1:29" x14ac:dyDescent="0.3">
      <c r="A416">
        <v>2</v>
      </c>
      <c r="B416" t="s">
        <v>100</v>
      </c>
      <c r="C416">
        <f>17*3.5</f>
        <v>59.5</v>
      </c>
      <c r="I416" s="76">
        <f t="shared" si="24"/>
        <v>59.5</v>
      </c>
    </row>
    <row r="417" spans="1:41" x14ac:dyDescent="0.3">
      <c r="A417">
        <v>12</v>
      </c>
      <c r="B417" t="s">
        <v>90</v>
      </c>
      <c r="C417">
        <f>5*3.5</f>
        <v>17.5</v>
      </c>
      <c r="I417" s="76">
        <f t="shared" si="24"/>
        <v>17.5</v>
      </c>
    </row>
    <row r="418" spans="1:41" x14ac:dyDescent="0.3">
      <c r="A418">
        <v>7</v>
      </c>
      <c r="B418" t="s">
        <v>225</v>
      </c>
      <c r="C418">
        <f>10*3.5</f>
        <v>35</v>
      </c>
      <c r="E418">
        <v>9</v>
      </c>
      <c r="F418" t="s">
        <v>225</v>
      </c>
      <c r="G418">
        <f>8*3.5</f>
        <v>28</v>
      </c>
      <c r="I418" s="76">
        <f t="shared" si="24"/>
        <v>63</v>
      </c>
    </row>
    <row r="420" spans="1:41" x14ac:dyDescent="0.3">
      <c r="A420" s="74" t="s">
        <v>403</v>
      </c>
    </row>
    <row r="421" spans="1:41" s="74" customFormat="1" x14ac:dyDescent="0.3">
      <c r="A421" s="74" t="s">
        <v>226</v>
      </c>
      <c r="B421" s="74">
        <v>130</v>
      </c>
      <c r="C421" s="74" t="s">
        <v>130</v>
      </c>
      <c r="F421" s="74">
        <v>145</v>
      </c>
      <c r="G421" s="74" t="s">
        <v>219</v>
      </c>
      <c r="I421" s="76" t="s">
        <v>50</v>
      </c>
    </row>
    <row r="422" spans="1:41" x14ac:dyDescent="0.3">
      <c r="A422">
        <v>14</v>
      </c>
      <c r="B422" t="s">
        <v>135</v>
      </c>
      <c r="C422">
        <f>3*3.5</f>
        <v>10.5</v>
      </c>
      <c r="E422">
        <v>5</v>
      </c>
      <c r="F422" t="s">
        <v>135</v>
      </c>
      <c r="G422">
        <f>12*4</f>
        <v>48</v>
      </c>
      <c r="I422" s="76">
        <f>C422+G422</f>
        <v>58.5</v>
      </c>
    </row>
    <row r="424" spans="1:41" x14ac:dyDescent="0.3">
      <c r="A424" s="74" t="s">
        <v>405</v>
      </c>
    </row>
    <row r="425" spans="1:41" s="74" customFormat="1" x14ac:dyDescent="0.3">
      <c r="A425" s="74" t="s">
        <v>144</v>
      </c>
      <c r="B425" s="74">
        <v>130</v>
      </c>
      <c r="C425" s="74" t="s">
        <v>130</v>
      </c>
      <c r="F425" s="74">
        <v>130</v>
      </c>
      <c r="G425" s="74" t="s">
        <v>130</v>
      </c>
      <c r="J425" s="74">
        <v>135</v>
      </c>
      <c r="K425" s="74" t="s">
        <v>130</v>
      </c>
      <c r="M425" s="74" t="s">
        <v>231</v>
      </c>
      <c r="N425" s="74" t="s">
        <v>232</v>
      </c>
      <c r="O425" s="74" t="s">
        <v>130</v>
      </c>
      <c r="Q425" s="136" t="s">
        <v>226</v>
      </c>
      <c r="R425" s="74">
        <v>135</v>
      </c>
      <c r="S425" s="74" t="s">
        <v>130</v>
      </c>
      <c r="V425" s="74">
        <v>140</v>
      </c>
      <c r="W425" s="74" t="s">
        <v>130</v>
      </c>
      <c r="Z425" s="74">
        <v>140</v>
      </c>
      <c r="AA425" s="74" t="s">
        <v>130</v>
      </c>
      <c r="AD425" s="74">
        <v>145</v>
      </c>
      <c r="AE425" s="74" t="s">
        <v>219</v>
      </c>
      <c r="AH425" s="74">
        <v>140</v>
      </c>
      <c r="AI425" s="74" t="s">
        <v>130</v>
      </c>
      <c r="AL425" s="74">
        <v>145</v>
      </c>
      <c r="AM425" s="74" t="s">
        <v>219</v>
      </c>
      <c r="AO425" s="76" t="s">
        <v>50</v>
      </c>
    </row>
    <row r="426" spans="1:41" x14ac:dyDescent="0.3">
      <c r="A426">
        <v>4</v>
      </c>
      <c r="B426" t="s">
        <v>110</v>
      </c>
      <c r="C426">
        <f>13*3.5</f>
        <v>45.5</v>
      </c>
      <c r="E426">
        <v>2</v>
      </c>
      <c r="F426" t="s">
        <v>110</v>
      </c>
      <c r="G426">
        <f>17*3.5</f>
        <v>59.5</v>
      </c>
      <c r="I426">
        <v>2</v>
      </c>
      <c r="J426" t="s">
        <v>110</v>
      </c>
      <c r="K426">
        <f>17*3.5</f>
        <v>59.5</v>
      </c>
      <c r="Q426">
        <v>12</v>
      </c>
      <c r="R426" t="s">
        <v>110</v>
      </c>
      <c r="S426">
        <f>5*3.5</f>
        <v>17.5</v>
      </c>
      <c r="U426">
        <v>3</v>
      </c>
      <c r="V426" t="s">
        <v>110</v>
      </c>
      <c r="W426">
        <f>15*3.5</f>
        <v>52.5</v>
      </c>
      <c r="Y426">
        <v>4</v>
      </c>
      <c r="Z426" t="s">
        <v>110</v>
      </c>
      <c r="AA426">
        <f>13*3.5</f>
        <v>45.5</v>
      </c>
      <c r="AG426">
        <v>1</v>
      </c>
      <c r="AH426" t="s">
        <v>110</v>
      </c>
      <c r="AI426">
        <f>18*3.5</f>
        <v>63</v>
      </c>
      <c r="AK426">
        <v>8</v>
      </c>
      <c r="AL426" t="s">
        <v>110</v>
      </c>
      <c r="AM426">
        <f>9*4</f>
        <v>36</v>
      </c>
      <c r="AO426" s="76">
        <f>C426+G426+K426+O426+S426+W426+AA426+AE426+AI426+AM426</f>
        <v>379</v>
      </c>
    </row>
    <row r="427" spans="1:41" x14ac:dyDescent="0.3">
      <c r="A427">
        <v>11</v>
      </c>
      <c r="B427" t="s">
        <v>100</v>
      </c>
      <c r="C427">
        <f>6*3.5</f>
        <v>21</v>
      </c>
      <c r="I427">
        <v>13</v>
      </c>
      <c r="J427" t="s">
        <v>100</v>
      </c>
      <c r="K427">
        <f>4*3.5</f>
        <v>14</v>
      </c>
      <c r="M427">
        <v>15</v>
      </c>
      <c r="N427" t="s">
        <v>100</v>
      </c>
      <c r="O427">
        <f>2*3.5</f>
        <v>7</v>
      </c>
      <c r="Q427">
        <v>3</v>
      </c>
      <c r="R427" t="s">
        <v>100</v>
      </c>
      <c r="S427">
        <f>15*3.5</f>
        <v>52.5</v>
      </c>
      <c r="U427">
        <v>2</v>
      </c>
      <c r="V427" t="s">
        <v>100</v>
      </c>
      <c r="W427">
        <f>17*3.5</f>
        <v>59.5</v>
      </c>
      <c r="AC427">
        <v>3</v>
      </c>
      <c r="AD427" t="s">
        <v>100</v>
      </c>
      <c r="AE427">
        <f>15*4</f>
        <v>60</v>
      </c>
      <c r="AG427">
        <v>3</v>
      </c>
      <c r="AH427" t="s">
        <v>100</v>
      </c>
      <c r="AI427">
        <f>13*3.5</f>
        <v>45.5</v>
      </c>
      <c r="AO427" s="76">
        <f t="shared" ref="AO427:AO428" si="25">C427+G427+K427+O427+S427+W427+AA427+AE427+AI427+AM427</f>
        <v>259.5</v>
      </c>
    </row>
    <row r="428" spans="1:41" x14ac:dyDescent="0.3">
      <c r="U428">
        <v>6</v>
      </c>
      <c r="V428" t="s">
        <v>135</v>
      </c>
      <c r="W428">
        <f>11*3.5</f>
        <v>38.5</v>
      </c>
      <c r="AC428">
        <v>7</v>
      </c>
      <c r="AD428" t="s">
        <v>135</v>
      </c>
      <c r="AE428">
        <f>10*4</f>
        <v>40</v>
      </c>
      <c r="AO428" s="76">
        <f t="shared" si="25"/>
        <v>78.5</v>
      </c>
    </row>
    <row r="429" spans="1:41" x14ac:dyDescent="0.3">
      <c r="A429" s="74" t="s">
        <v>408</v>
      </c>
    </row>
    <row r="430" spans="1:41" s="74" customFormat="1" x14ac:dyDescent="0.3">
      <c r="B430" s="74">
        <v>130</v>
      </c>
      <c r="C430" s="74" t="s">
        <v>141</v>
      </c>
      <c r="F430" s="74">
        <v>135</v>
      </c>
      <c r="G430" s="74" t="s">
        <v>141</v>
      </c>
      <c r="J430" s="74" t="s">
        <v>412</v>
      </c>
      <c r="K430" s="74" t="s">
        <v>141</v>
      </c>
      <c r="M430" s="76" t="s">
        <v>50</v>
      </c>
    </row>
    <row r="431" spans="1:41" x14ac:dyDescent="0.3">
      <c r="A431">
        <v>7</v>
      </c>
      <c r="B431" t="s">
        <v>409</v>
      </c>
      <c r="C431">
        <f>10*2.5</f>
        <v>25</v>
      </c>
      <c r="E431">
        <v>12</v>
      </c>
      <c r="F431" t="s">
        <v>409</v>
      </c>
      <c r="G431">
        <f>5*2.5</f>
        <v>12.5</v>
      </c>
      <c r="J431" t="s">
        <v>409</v>
      </c>
      <c r="M431" s="76">
        <f>C431+G431+K431</f>
        <v>37.5</v>
      </c>
    </row>
    <row r="432" spans="1:41" x14ac:dyDescent="0.3">
      <c r="A432">
        <v>5</v>
      </c>
      <c r="B432" t="s">
        <v>104</v>
      </c>
      <c r="C432">
        <f>12*2.5</f>
        <v>30</v>
      </c>
      <c r="I432">
        <v>4</v>
      </c>
      <c r="J432" t="s">
        <v>104</v>
      </c>
      <c r="K432">
        <f>7*2.5</f>
        <v>17.5</v>
      </c>
      <c r="M432" s="76">
        <f t="shared" ref="M432:M439" si="26">C432+G432+K432</f>
        <v>47.5</v>
      </c>
    </row>
    <row r="433" spans="1:41" x14ac:dyDescent="0.3">
      <c r="A433">
        <v>14</v>
      </c>
      <c r="B433" t="s">
        <v>103</v>
      </c>
      <c r="C433">
        <f>3*2.5</f>
        <v>7.5</v>
      </c>
      <c r="E433">
        <v>6</v>
      </c>
      <c r="F433" t="s">
        <v>103</v>
      </c>
      <c r="G433">
        <f>11*2.5</f>
        <v>27.5</v>
      </c>
      <c r="I433">
        <v>7</v>
      </c>
      <c r="J433" t="s">
        <v>103</v>
      </c>
      <c r="K433">
        <f>4*2.5</f>
        <v>10</v>
      </c>
      <c r="M433" s="76">
        <f t="shared" si="26"/>
        <v>45</v>
      </c>
    </row>
    <row r="434" spans="1:41" x14ac:dyDescent="0.3">
      <c r="A434">
        <v>3</v>
      </c>
      <c r="B434" t="s">
        <v>102</v>
      </c>
      <c r="C434">
        <f>15*2.5</f>
        <v>37.5</v>
      </c>
      <c r="E434">
        <v>8</v>
      </c>
      <c r="F434" t="s">
        <v>102</v>
      </c>
      <c r="G434">
        <f>9*2.5</f>
        <v>22.5</v>
      </c>
      <c r="I434">
        <v>5</v>
      </c>
      <c r="J434" t="s">
        <v>102</v>
      </c>
      <c r="K434">
        <f>6*2.5</f>
        <v>15</v>
      </c>
      <c r="M434" s="76">
        <f t="shared" si="26"/>
        <v>75</v>
      </c>
    </row>
    <row r="435" spans="1:41" x14ac:dyDescent="0.3">
      <c r="E435">
        <v>11</v>
      </c>
      <c r="F435" t="s">
        <v>101</v>
      </c>
      <c r="G435">
        <f>6*2.5</f>
        <v>15</v>
      </c>
      <c r="J435" t="s">
        <v>101</v>
      </c>
      <c r="M435" s="76">
        <f t="shared" si="26"/>
        <v>15</v>
      </c>
    </row>
    <row r="436" spans="1:41" x14ac:dyDescent="0.3">
      <c r="A436">
        <v>1</v>
      </c>
      <c r="B436" t="s">
        <v>111</v>
      </c>
      <c r="C436">
        <f>20*2.5</f>
        <v>50</v>
      </c>
      <c r="E436">
        <v>7</v>
      </c>
      <c r="F436" t="s">
        <v>111</v>
      </c>
      <c r="G436">
        <f>10*2.5</f>
        <v>25</v>
      </c>
      <c r="I436">
        <v>6</v>
      </c>
      <c r="J436" t="s">
        <v>111</v>
      </c>
      <c r="K436">
        <f>5*2.5</f>
        <v>12.5</v>
      </c>
      <c r="M436" s="76">
        <f t="shared" si="26"/>
        <v>87.5</v>
      </c>
    </row>
    <row r="437" spans="1:41" x14ac:dyDescent="0.3">
      <c r="A437">
        <v>4</v>
      </c>
      <c r="B437" t="s">
        <v>122</v>
      </c>
      <c r="C437">
        <f>13*2.5</f>
        <v>32.5</v>
      </c>
      <c r="E437">
        <v>10</v>
      </c>
      <c r="F437" t="s">
        <v>122</v>
      </c>
      <c r="G437">
        <f>7*2.5</f>
        <v>17.5</v>
      </c>
      <c r="J437" t="s">
        <v>122</v>
      </c>
      <c r="M437" s="76">
        <f t="shared" si="26"/>
        <v>50</v>
      </c>
    </row>
    <row r="438" spans="1:41" x14ac:dyDescent="0.3">
      <c r="I438">
        <v>2</v>
      </c>
      <c r="J438" t="s">
        <v>190</v>
      </c>
      <c r="K438">
        <f>11*2.5</f>
        <v>27.5</v>
      </c>
      <c r="M438" s="76">
        <f t="shared" si="26"/>
        <v>27.5</v>
      </c>
    </row>
    <row r="439" spans="1:41" x14ac:dyDescent="0.3">
      <c r="I439">
        <v>10</v>
      </c>
      <c r="J439" t="s">
        <v>89</v>
      </c>
      <c r="K439">
        <f>1*2.5</f>
        <v>2.5</v>
      </c>
      <c r="M439" s="76">
        <f t="shared" si="26"/>
        <v>2.5</v>
      </c>
    </row>
    <row r="440" spans="1:41" x14ac:dyDescent="0.3">
      <c r="M440" s="76"/>
    </row>
    <row r="441" spans="1:41" x14ac:dyDescent="0.3">
      <c r="A441" s="74" t="s">
        <v>405</v>
      </c>
    </row>
    <row r="442" spans="1:41" s="74" customFormat="1" x14ac:dyDescent="0.3">
      <c r="A442" s="74" t="s">
        <v>226</v>
      </c>
      <c r="B442" s="74">
        <v>135</v>
      </c>
      <c r="C442" s="74" t="s">
        <v>130</v>
      </c>
      <c r="F442" s="74">
        <v>140</v>
      </c>
      <c r="G442" s="74" t="s">
        <v>130</v>
      </c>
      <c r="I442" s="74" t="s">
        <v>144</v>
      </c>
      <c r="J442" s="74">
        <v>130</v>
      </c>
      <c r="K442" s="74" t="s">
        <v>130</v>
      </c>
      <c r="N442" s="74">
        <v>140</v>
      </c>
      <c r="O442" s="74" t="s">
        <v>130</v>
      </c>
      <c r="R442" s="74">
        <v>145</v>
      </c>
      <c r="S442" s="74" t="s">
        <v>219</v>
      </c>
      <c r="V442" s="74">
        <v>130</v>
      </c>
      <c r="W442" s="74" t="s">
        <v>130</v>
      </c>
      <c r="Z442" s="74">
        <v>140</v>
      </c>
      <c r="AA442" s="74" t="s">
        <v>130</v>
      </c>
      <c r="AD442" s="74" t="s">
        <v>232</v>
      </c>
      <c r="AE442" s="74" t="s">
        <v>130</v>
      </c>
      <c r="AH442" s="74">
        <v>135</v>
      </c>
      <c r="AI442" s="74" t="s">
        <v>130</v>
      </c>
      <c r="AL442" s="74">
        <v>145</v>
      </c>
      <c r="AM442" s="74" t="s">
        <v>219</v>
      </c>
      <c r="AO442" s="74" t="s">
        <v>50</v>
      </c>
    </row>
    <row r="443" spans="1:41" x14ac:dyDescent="0.3">
      <c r="A443">
        <v>14</v>
      </c>
      <c r="B443" t="s">
        <v>110</v>
      </c>
      <c r="C443">
        <f>3*3.5</f>
        <v>10.5</v>
      </c>
      <c r="E443">
        <v>2</v>
      </c>
      <c r="F443" t="s">
        <v>110</v>
      </c>
      <c r="G443">
        <f>17*3.5</f>
        <v>59.5</v>
      </c>
      <c r="I443">
        <v>2</v>
      </c>
      <c r="J443" t="s">
        <v>110</v>
      </c>
      <c r="K443">
        <f>17*3.5</f>
        <v>59.5</v>
      </c>
      <c r="M443">
        <v>13</v>
      </c>
      <c r="N443" t="s">
        <v>110</v>
      </c>
      <c r="O443">
        <f>4*3.5</f>
        <v>14</v>
      </c>
      <c r="U443">
        <v>12</v>
      </c>
      <c r="V443" t="s">
        <v>110</v>
      </c>
      <c r="W443">
        <f>5*3.5</f>
        <v>17.5</v>
      </c>
      <c r="Y443">
        <v>4</v>
      </c>
      <c r="Z443" t="s">
        <v>110</v>
      </c>
      <c r="AA443">
        <f>13*3.5</f>
        <v>45.5</v>
      </c>
      <c r="AG443">
        <v>2</v>
      </c>
      <c r="AH443" t="s">
        <v>110</v>
      </c>
      <c r="AI443">
        <f>17*3.5</f>
        <v>59.5</v>
      </c>
      <c r="AK443">
        <v>1</v>
      </c>
      <c r="AL443" t="s">
        <v>110</v>
      </c>
      <c r="AM443">
        <f>20*4</f>
        <v>80</v>
      </c>
      <c r="AO443" s="76">
        <f>C443+G443+K443+O443+S443+W443+AA443+AE443+AI443+AM443</f>
        <v>346</v>
      </c>
    </row>
    <row r="444" spans="1:41" x14ac:dyDescent="0.3">
      <c r="A444">
        <v>12</v>
      </c>
      <c r="B444" t="s">
        <v>100</v>
      </c>
      <c r="C444">
        <f>5*3.5</f>
        <v>17.5</v>
      </c>
      <c r="E444">
        <v>3</v>
      </c>
      <c r="F444" t="s">
        <v>100</v>
      </c>
      <c r="G444">
        <f>15*3.5</f>
        <v>52.5</v>
      </c>
      <c r="M444">
        <v>2</v>
      </c>
      <c r="N444" t="s">
        <v>100</v>
      </c>
      <c r="O444">
        <f>17*3.5</f>
        <v>59.5</v>
      </c>
      <c r="Q444">
        <v>3</v>
      </c>
      <c r="R444" t="s">
        <v>100</v>
      </c>
      <c r="S444">
        <f>15*4</f>
        <v>60</v>
      </c>
      <c r="Y444">
        <v>13</v>
      </c>
      <c r="Z444" t="s">
        <v>100</v>
      </c>
      <c r="AA444">
        <f>4*3.5</f>
        <v>14</v>
      </c>
      <c r="AC444">
        <v>2</v>
      </c>
      <c r="AD444" t="s">
        <v>100</v>
      </c>
      <c r="AE444">
        <f>17*3.5</f>
        <v>59.5</v>
      </c>
      <c r="AK444">
        <v>2</v>
      </c>
      <c r="AL444" t="s">
        <v>100</v>
      </c>
      <c r="AM444">
        <f>17*4</f>
        <v>68</v>
      </c>
      <c r="AO444" s="76">
        <f t="shared" ref="AO444:AO447" si="27">C444+G444+K444+O444+S444+W444+AA444+AE444+AI444+AM444</f>
        <v>331</v>
      </c>
    </row>
    <row r="445" spans="1:41" x14ac:dyDescent="0.3">
      <c r="I445">
        <v>15</v>
      </c>
      <c r="J445" t="s">
        <v>410</v>
      </c>
      <c r="K445">
        <f>2*3.5</f>
        <v>7</v>
      </c>
      <c r="AL445" t="s">
        <v>410</v>
      </c>
      <c r="AO445" s="76">
        <f t="shared" si="27"/>
        <v>7</v>
      </c>
    </row>
    <row r="446" spans="1:41" x14ac:dyDescent="0.3">
      <c r="Q446">
        <v>15</v>
      </c>
      <c r="R446" t="s">
        <v>135</v>
      </c>
      <c r="S446">
        <f>2*4</f>
        <v>8</v>
      </c>
      <c r="AL446" t="s">
        <v>135</v>
      </c>
      <c r="AO446" s="76">
        <f t="shared" si="27"/>
        <v>8</v>
      </c>
    </row>
    <row r="447" spans="1:41" x14ac:dyDescent="0.3">
      <c r="Q447">
        <v>12</v>
      </c>
      <c r="R447" t="s">
        <v>90</v>
      </c>
      <c r="S447">
        <f>5*4</f>
        <v>20</v>
      </c>
      <c r="AL447" t="s">
        <v>90</v>
      </c>
      <c r="AO447" s="76">
        <f t="shared" si="27"/>
        <v>20</v>
      </c>
    </row>
    <row r="448" spans="1:41" x14ac:dyDescent="0.3">
      <c r="A448" s="74" t="s">
        <v>413</v>
      </c>
      <c r="B448" s="74"/>
      <c r="C448" s="74"/>
      <c r="D448" s="74"/>
      <c r="E448" s="74"/>
    </row>
    <row r="449" spans="1:29" s="74" customFormat="1" x14ac:dyDescent="0.3">
      <c r="A449" s="74" t="s">
        <v>226</v>
      </c>
      <c r="B449" s="74">
        <v>130</v>
      </c>
      <c r="C449" s="74" t="s">
        <v>130</v>
      </c>
      <c r="F449" s="74">
        <v>140</v>
      </c>
      <c r="G449" s="74" t="s">
        <v>130</v>
      </c>
      <c r="J449" s="74">
        <v>135</v>
      </c>
      <c r="K449" s="74" t="s">
        <v>130</v>
      </c>
      <c r="N449" s="74">
        <v>145</v>
      </c>
      <c r="O449" s="74" t="s">
        <v>219</v>
      </c>
      <c r="R449" s="74">
        <v>140</v>
      </c>
      <c r="S449" s="74" t="s">
        <v>130</v>
      </c>
      <c r="V449" s="74">
        <v>135</v>
      </c>
      <c r="W449" s="74" t="s">
        <v>130</v>
      </c>
      <c r="Z449" s="74">
        <v>150</v>
      </c>
      <c r="AA449" s="74" t="s">
        <v>219</v>
      </c>
      <c r="AC449" s="74" t="s">
        <v>50</v>
      </c>
    </row>
    <row r="450" spans="1:29" x14ac:dyDescent="0.3">
      <c r="A450">
        <v>4</v>
      </c>
      <c r="B450" t="s">
        <v>110</v>
      </c>
      <c r="C450">
        <f>13*3.5</f>
        <v>45.5</v>
      </c>
      <c r="E450">
        <v>15</v>
      </c>
      <c r="F450" t="s">
        <v>110</v>
      </c>
      <c r="G450">
        <f>2*3.5</f>
        <v>7</v>
      </c>
      <c r="I450">
        <v>1</v>
      </c>
      <c r="J450" t="s">
        <v>110</v>
      </c>
      <c r="K450">
        <f>20*3.5</f>
        <v>70</v>
      </c>
      <c r="M450">
        <v>9</v>
      </c>
      <c r="N450" t="s">
        <v>110</v>
      </c>
      <c r="O450">
        <f>8*4</f>
        <v>32</v>
      </c>
      <c r="Q450">
        <v>3</v>
      </c>
      <c r="R450" t="s">
        <v>110</v>
      </c>
      <c r="S450">
        <f>15*3.5</f>
        <v>52.5</v>
      </c>
      <c r="U450">
        <v>2</v>
      </c>
      <c r="V450" t="s">
        <v>110</v>
      </c>
      <c r="W450">
        <f>17*3.5</f>
        <v>59.5</v>
      </c>
      <c r="Y450">
        <v>5</v>
      </c>
      <c r="Z450" t="s">
        <v>110</v>
      </c>
      <c r="AA450">
        <f>12*4</f>
        <v>48</v>
      </c>
      <c r="AC450" s="81">
        <f>C450+G450+K450+O450+S450+W450+AA450</f>
        <v>314.5</v>
      </c>
    </row>
    <row r="451" spans="1:29" x14ac:dyDescent="0.3">
      <c r="M451">
        <v>12</v>
      </c>
      <c r="N451" t="s">
        <v>135</v>
      </c>
      <c r="O451">
        <f>5*4</f>
        <v>20</v>
      </c>
      <c r="Q451">
        <v>13</v>
      </c>
      <c r="R451" t="s">
        <v>135</v>
      </c>
      <c r="S451">
        <f>4*3.5</f>
        <v>14</v>
      </c>
      <c r="Z451" t="s">
        <v>135</v>
      </c>
      <c r="AC451" s="81">
        <f t="shared" ref="AC451:AC455" si="28">C451+G451+K451+O451+S451+W451+AA451</f>
        <v>34</v>
      </c>
    </row>
    <row r="452" spans="1:29" x14ac:dyDescent="0.3">
      <c r="I452">
        <v>5</v>
      </c>
      <c r="J452" t="s">
        <v>100</v>
      </c>
      <c r="K452">
        <f>12*3.5</f>
        <v>42</v>
      </c>
      <c r="M452">
        <v>16</v>
      </c>
      <c r="N452" t="s">
        <v>100</v>
      </c>
      <c r="O452">
        <f>1*4</f>
        <v>4</v>
      </c>
      <c r="Y452">
        <v>2</v>
      </c>
      <c r="Z452" t="s">
        <v>100</v>
      </c>
      <c r="AA452">
        <f>17*4</f>
        <v>68</v>
      </c>
      <c r="AC452" s="81">
        <f t="shared" si="28"/>
        <v>114</v>
      </c>
    </row>
    <row r="453" spans="1:29" x14ac:dyDescent="0.3">
      <c r="A453">
        <v>6</v>
      </c>
      <c r="B453" t="s">
        <v>103</v>
      </c>
      <c r="C453">
        <f>11*3.5</f>
        <v>38.5</v>
      </c>
      <c r="Z453" t="s">
        <v>103</v>
      </c>
      <c r="AC453" s="81">
        <f t="shared" si="28"/>
        <v>38.5</v>
      </c>
    </row>
    <row r="454" spans="1:29" x14ac:dyDescent="0.3">
      <c r="U454">
        <v>11</v>
      </c>
      <c r="V454" t="s">
        <v>136</v>
      </c>
      <c r="W454">
        <f>6*3.5</f>
        <v>21</v>
      </c>
      <c r="Z454" t="s">
        <v>136</v>
      </c>
      <c r="AC454" s="81">
        <f t="shared" si="28"/>
        <v>21</v>
      </c>
    </row>
    <row r="455" spans="1:29" x14ac:dyDescent="0.3">
      <c r="Y455">
        <v>12</v>
      </c>
      <c r="Z455" t="s">
        <v>225</v>
      </c>
      <c r="AA455">
        <f>5*4</f>
        <v>20</v>
      </c>
      <c r="AC455" s="81">
        <f t="shared" si="28"/>
        <v>20</v>
      </c>
    </row>
    <row r="457" spans="1:29" x14ac:dyDescent="0.3">
      <c r="A457" s="74" t="s">
        <v>411</v>
      </c>
      <c r="B457" s="74"/>
      <c r="C457" s="74"/>
      <c r="D457" s="74"/>
      <c r="E457" s="74"/>
    </row>
    <row r="458" spans="1:29" x14ac:dyDescent="0.3">
      <c r="B458" s="74">
        <v>130</v>
      </c>
      <c r="C458" s="74" t="s">
        <v>141</v>
      </c>
      <c r="D458" s="74"/>
      <c r="E458" s="74"/>
      <c r="F458" s="74">
        <v>135</v>
      </c>
      <c r="G458" s="74" t="s">
        <v>141</v>
      </c>
      <c r="H458" s="74"/>
      <c r="I458" s="74"/>
      <c r="J458" s="74" t="s">
        <v>412</v>
      </c>
      <c r="K458" s="74" t="s">
        <v>141</v>
      </c>
      <c r="L458" s="74"/>
      <c r="M458" s="76" t="s">
        <v>50</v>
      </c>
    </row>
    <row r="459" spans="1:29" x14ac:dyDescent="0.3">
      <c r="A459">
        <v>12</v>
      </c>
      <c r="B459" t="s">
        <v>409</v>
      </c>
      <c r="C459">
        <f>5*2.5</f>
        <v>12.5</v>
      </c>
      <c r="E459">
        <v>11</v>
      </c>
      <c r="F459" t="s">
        <v>409</v>
      </c>
      <c r="G459">
        <f>6*2.5</f>
        <v>15</v>
      </c>
      <c r="J459" t="s">
        <v>409</v>
      </c>
      <c r="M459" s="76">
        <f>C459+G459+K459</f>
        <v>27.5</v>
      </c>
    </row>
    <row r="460" spans="1:29" x14ac:dyDescent="0.3">
      <c r="A460">
        <v>13</v>
      </c>
      <c r="B460" t="s">
        <v>187</v>
      </c>
      <c r="C460">
        <f>4*2.5</f>
        <v>10</v>
      </c>
      <c r="J460" t="s">
        <v>187</v>
      </c>
      <c r="M460" s="76">
        <f t="shared" ref="M460:M467" si="29">C460+G460+K460</f>
        <v>10</v>
      </c>
    </row>
    <row r="461" spans="1:29" x14ac:dyDescent="0.3">
      <c r="A461">
        <v>3</v>
      </c>
      <c r="B461" t="s">
        <v>103</v>
      </c>
      <c r="C461">
        <f>15*2.5</f>
        <v>37.5</v>
      </c>
      <c r="E461">
        <v>5</v>
      </c>
      <c r="F461" t="s">
        <v>103</v>
      </c>
      <c r="G461">
        <f>12*2.5</f>
        <v>30</v>
      </c>
      <c r="J461" t="s">
        <v>103</v>
      </c>
      <c r="M461" s="76">
        <f t="shared" si="29"/>
        <v>67.5</v>
      </c>
    </row>
    <row r="462" spans="1:29" x14ac:dyDescent="0.3">
      <c r="A462">
        <v>10</v>
      </c>
      <c r="B462" t="s">
        <v>101</v>
      </c>
      <c r="C462">
        <f>7*2.5</f>
        <v>17.5</v>
      </c>
      <c r="E462">
        <v>1</v>
      </c>
      <c r="F462" t="s">
        <v>101</v>
      </c>
      <c r="G462">
        <f>20*2.5</f>
        <v>50</v>
      </c>
      <c r="I462">
        <v>1</v>
      </c>
      <c r="J462" t="s">
        <v>101</v>
      </c>
      <c r="K462">
        <f>15*2.5</f>
        <v>37.5</v>
      </c>
      <c r="M462" s="76">
        <f t="shared" si="29"/>
        <v>105</v>
      </c>
    </row>
    <row r="463" spans="1:29" ht="12.6" customHeight="1" x14ac:dyDescent="0.3">
      <c r="A463">
        <v>2</v>
      </c>
      <c r="B463" t="s">
        <v>111</v>
      </c>
      <c r="C463">
        <f>17*2.5</f>
        <v>42.5</v>
      </c>
      <c r="E463">
        <v>6</v>
      </c>
      <c r="F463" t="s">
        <v>111</v>
      </c>
      <c r="G463">
        <f>11*2.5</f>
        <v>27.5</v>
      </c>
      <c r="I463">
        <v>5</v>
      </c>
      <c r="J463" t="s">
        <v>111</v>
      </c>
      <c r="K463">
        <f>7*2.5</f>
        <v>17.5</v>
      </c>
      <c r="M463" s="76">
        <f t="shared" si="29"/>
        <v>87.5</v>
      </c>
    </row>
    <row r="464" spans="1:29" x14ac:dyDescent="0.3">
      <c r="A464">
        <v>5</v>
      </c>
      <c r="B464" t="s">
        <v>100</v>
      </c>
      <c r="C464">
        <f>12*2.5</f>
        <v>30</v>
      </c>
      <c r="E464">
        <v>2</v>
      </c>
      <c r="F464" t="s">
        <v>100</v>
      </c>
      <c r="G464">
        <f>17*2.5</f>
        <v>42.5</v>
      </c>
      <c r="M464" s="76">
        <f t="shared" si="29"/>
        <v>72.5</v>
      </c>
    </row>
    <row r="465" spans="1:41" x14ac:dyDescent="0.3">
      <c r="I465">
        <v>6</v>
      </c>
      <c r="J465" t="s">
        <v>104</v>
      </c>
      <c r="K465">
        <f>6*2.5</f>
        <v>15</v>
      </c>
      <c r="M465" s="76">
        <f t="shared" si="29"/>
        <v>15</v>
      </c>
    </row>
    <row r="466" spans="1:41" x14ac:dyDescent="0.3">
      <c r="I466">
        <v>2</v>
      </c>
      <c r="J466" t="s">
        <v>86</v>
      </c>
      <c r="K466">
        <f>12*2.5</f>
        <v>30</v>
      </c>
      <c r="M466" s="76">
        <f t="shared" si="29"/>
        <v>30</v>
      </c>
    </row>
    <row r="467" spans="1:41" x14ac:dyDescent="0.3">
      <c r="I467">
        <v>10</v>
      </c>
      <c r="J467" t="s">
        <v>114</v>
      </c>
      <c r="K467">
        <f>2*2.5</f>
        <v>5</v>
      </c>
      <c r="M467" s="76">
        <f t="shared" si="29"/>
        <v>5</v>
      </c>
    </row>
    <row r="469" spans="1:41" x14ac:dyDescent="0.3">
      <c r="A469" s="242" t="s">
        <v>418</v>
      </c>
      <c r="B469" s="242"/>
      <c r="C469" s="242"/>
      <c r="D469" s="242"/>
      <c r="E469" s="242"/>
    </row>
    <row r="470" spans="1:41" x14ac:dyDescent="0.3">
      <c r="A470" s="74" t="s">
        <v>143</v>
      </c>
      <c r="B470" s="74">
        <v>140</v>
      </c>
      <c r="C470" s="74" t="s">
        <v>132</v>
      </c>
      <c r="D470" s="74"/>
      <c r="E470" s="74" t="s">
        <v>144</v>
      </c>
      <c r="F470" s="74">
        <v>130</v>
      </c>
      <c r="G470" s="74" t="s">
        <v>130</v>
      </c>
      <c r="H470" s="74"/>
      <c r="I470" s="74" t="s">
        <v>143</v>
      </c>
      <c r="J470" s="74">
        <v>140</v>
      </c>
      <c r="K470" s="74" t="s">
        <v>132</v>
      </c>
      <c r="L470" s="74"/>
      <c r="M470" s="74" t="s">
        <v>144</v>
      </c>
      <c r="N470" s="74">
        <v>130</v>
      </c>
      <c r="O470" s="74" t="s">
        <v>130</v>
      </c>
      <c r="P470" s="74"/>
      <c r="Q470" s="74" t="s">
        <v>143</v>
      </c>
      <c r="R470" s="74">
        <v>135</v>
      </c>
      <c r="S470" s="74" t="s">
        <v>132</v>
      </c>
      <c r="T470" s="74"/>
      <c r="U470" s="74" t="s">
        <v>144</v>
      </c>
      <c r="V470" s="74">
        <v>135</v>
      </c>
      <c r="W470" s="74" t="s">
        <v>130</v>
      </c>
      <c r="X470" s="74"/>
      <c r="Y470" s="74" t="s">
        <v>143</v>
      </c>
      <c r="Z470" s="74">
        <v>145</v>
      </c>
      <c r="AA470" s="74" t="s">
        <v>131</v>
      </c>
      <c r="AC470" s="74" t="s">
        <v>143</v>
      </c>
      <c r="AD470" s="74">
        <v>140</v>
      </c>
      <c r="AE470" s="74" t="s">
        <v>132</v>
      </c>
      <c r="AG470" s="74" t="s">
        <v>143</v>
      </c>
      <c r="AH470" s="74">
        <v>135</v>
      </c>
      <c r="AI470" s="74" t="s">
        <v>132</v>
      </c>
      <c r="AK470" s="74" t="s">
        <v>143</v>
      </c>
      <c r="AL470" s="74">
        <v>150</v>
      </c>
      <c r="AM470" s="74" t="s">
        <v>131</v>
      </c>
      <c r="AO470" s="81" t="s">
        <v>50</v>
      </c>
    </row>
    <row r="471" spans="1:41" x14ac:dyDescent="0.3">
      <c r="AC471">
        <v>3</v>
      </c>
      <c r="AD471" t="s">
        <v>110</v>
      </c>
      <c r="AE471">
        <f>15*4.5</f>
        <v>67.5</v>
      </c>
      <c r="AK471">
        <v>12</v>
      </c>
      <c r="AL471" t="s">
        <v>110</v>
      </c>
      <c r="AM471">
        <f>5*5</f>
        <v>25</v>
      </c>
      <c r="AO471" s="81">
        <f>C471+G471+K471+O471+S471+W471+AA471+AE471+AI471+AM471</f>
        <v>92.5</v>
      </c>
    </row>
    <row r="472" spans="1:41" x14ac:dyDescent="0.3">
      <c r="Q472">
        <v>2</v>
      </c>
      <c r="R472" t="s">
        <v>101</v>
      </c>
      <c r="S472">
        <f>17*4.5</f>
        <v>76.5</v>
      </c>
      <c r="AC472">
        <v>10</v>
      </c>
      <c r="AD472" t="s">
        <v>101</v>
      </c>
      <c r="AE472">
        <f>7*4.5</f>
        <v>31.5</v>
      </c>
      <c r="AG472">
        <v>3</v>
      </c>
      <c r="AH472" t="s">
        <v>101</v>
      </c>
      <c r="AI472">
        <f>15*4.5</f>
        <v>67.5</v>
      </c>
      <c r="AL472" t="s">
        <v>101</v>
      </c>
      <c r="AO472" s="81">
        <f t="shared" ref="AO472:AO477" si="30">C472+G472+K472+O472+S472+W472+AA472+AE472+AI472+AM472</f>
        <v>175.5</v>
      </c>
    </row>
    <row r="473" spans="1:41" x14ac:dyDescent="0.3">
      <c r="I473">
        <v>6</v>
      </c>
      <c r="J473" t="s">
        <v>100</v>
      </c>
      <c r="K473">
        <f>11*4.5</f>
        <v>49.5</v>
      </c>
      <c r="Y473">
        <v>1</v>
      </c>
      <c r="Z473" t="s">
        <v>100</v>
      </c>
      <c r="AA473">
        <f>20*5</f>
        <v>100</v>
      </c>
      <c r="AG473">
        <v>14</v>
      </c>
      <c r="AH473" t="s">
        <v>100</v>
      </c>
      <c r="AI473">
        <f>3*4.5</f>
        <v>13.5</v>
      </c>
      <c r="AL473" t="s">
        <v>100</v>
      </c>
      <c r="AO473" s="81">
        <f t="shared" si="30"/>
        <v>163</v>
      </c>
    </row>
    <row r="474" spans="1:41" x14ac:dyDescent="0.3">
      <c r="A474">
        <v>7</v>
      </c>
      <c r="B474" t="s">
        <v>135</v>
      </c>
      <c r="C474">
        <f>10*4.5</f>
        <v>45</v>
      </c>
      <c r="Y474">
        <v>10</v>
      </c>
      <c r="Z474" t="s">
        <v>135</v>
      </c>
      <c r="AA474">
        <f>7*5</f>
        <v>35</v>
      </c>
      <c r="AL474" t="s">
        <v>135</v>
      </c>
      <c r="AO474" s="81">
        <f t="shared" si="30"/>
        <v>80</v>
      </c>
    </row>
    <row r="475" spans="1:41" x14ac:dyDescent="0.3">
      <c r="E475">
        <v>5</v>
      </c>
      <c r="F475" t="s">
        <v>140</v>
      </c>
      <c r="G475">
        <f>12*3.5</f>
        <v>42</v>
      </c>
      <c r="U475">
        <v>5</v>
      </c>
      <c r="V475" t="s">
        <v>140</v>
      </c>
      <c r="W475">
        <f>12*3.5</f>
        <v>42</v>
      </c>
      <c r="AL475" t="s">
        <v>140</v>
      </c>
      <c r="AO475" s="81">
        <f t="shared" si="30"/>
        <v>84</v>
      </c>
    </row>
    <row r="476" spans="1:41" x14ac:dyDescent="0.3">
      <c r="M476">
        <v>4</v>
      </c>
      <c r="N476" t="s">
        <v>86</v>
      </c>
      <c r="O476">
        <f>13*3.5</f>
        <v>45.5</v>
      </c>
      <c r="AL476" t="s">
        <v>86</v>
      </c>
      <c r="AO476" s="81">
        <f t="shared" si="30"/>
        <v>45.5</v>
      </c>
    </row>
    <row r="477" spans="1:41" x14ac:dyDescent="0.3">
      <c r="A477">
        <v>8</v>
      </c>
      <c r="B477" t="s">
        <v>142</v>
      </c>
      <c r="C477">
        <f>9*4.5</f>
        <v>40.5</v>
      </c>
      <c r="AL477" t="s">
        <v>142</v>
      </c>
      <c r="AO477" s="81">
        <f t="shared" si="30"/>
        <v>40.5</v>
      </c>
    </row>
    <row r="478" spans="1:41" x14ac:dyDescent="0.3">
      <c r="AO478" s="81"/>
    </row>
  </sheetData>
  <sortState ref="I458:K468">
    <sortCondition ref="J458:J468"/>
  </sortState>
  <pageMargins left="0.7" right="0.7" top="0.75" bottom="0.75" header="0.3" footer="0.3"/>
  <pageSetup orientation="portrait" r:id="rId1"/>
  <ignoredErrors>
    <ignoredError sqref="Y225 AC40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3</vt:i4>
      </vt:variant>
    </vt:vector>
  </HeadingPairs>
  <TitlesOfParts>
    <vt:vector size="14" baseType="lpstr">
      <vt:lpstr>Koeficientai</vt:lpstr>
      <vt:lpstr>Taškų lentelė</vt:lpstr>
      <vt:lpstr>Suaugusieji</vt:lpstr>
      <vt:lpstr>Poniai</vt:lpstr>
      <vt:lpstr>Vaikai</vt:lpstr>
      <vt:lpstr>Jauniai</vt:lpstr>
      <vt:lpstr>Jaunimas</vt:lpstr>
      <vt:lpstr>Mėgėjai I gr.</vt:lpstr>
      <vt:lpstr>Mėgėjai II gr.</vt:lpstr>
      <vt:lpstr>Mėgėjai III gr.</vt:lpstr>
      <vt:lpstr>Suaugusieji (Skaiciavimas)</vt:lpstr>
      <vt:lpstr>'Suaugusieji (Skaiciavimas)'!not_placed</vt:lpstr>
      <vt:lpstr>Poniai!Print_Area</vt:lpstr>
      <vt:lpstr>'Taškų lentelė'!start_9419802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2022-10-27T16:40:18Z</cp:lastPrinted>
  <dcterms:created xsi:type="dcterms:W3CDTF">2021-10-07T12:24:10Z</dcterms:created>
  <dcterms:modified xsi:type="dcterms:W3CDTF">2022-12-28T20:34:21Z</dcterms:modified>
</cp:coreProperties>
</file>