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ropbox\"/>
    </mc:Choice>
  </mc:AlternateContent>
  <bookViews>
    <workbookView xWindow="0" yWindow="0" windowWidth="23040" windowHeight="9192" activeTab="2"/>
  </bookViews>
  <sheets>
    <sheet name="Koeficientai" sheetId="2" r:id="rId1"/>
    <sheet name="Taškų lentelė" sheetId="1" r:id="rId2"/>
    <sheet name="2021 Saugusieji" sheetId="3" r:id="rId3"/>
    <sheet name="Suaugusieji (Cempas)" sheetId="14" r:id="rId4"/>
    <sheet name="Poniai" sheetId="7" r:id="rId5"/>
    <sheet name="Vaikai" sheetId="8" r:id="rId6"/>
    <sheet name="Jaunimas" sheetId="4" r:id="rId7"/>
    <sheet name="Jaunučiai" sheetId="6" r:id="rId8"/>
    <sheet name="Jauniai" sheetId="5" r:id="rId9"/>
    <sheet name="Mėgėjai I gr." sheetId="11" r:id="rId10"/>
    <sheet name="Mėgėjai II gr." sheetId="12" r:id="rId11"/>
    <sheet name="Mėgėjai III gr." sheetId="13" r:id="rId12"/>
  </sheets>
  <definedNames>
    <definedName name="_xlnm.Print_Area" localSheetId="4">Poniai!$A$1:$J$26</definedName>
    <definedName name="start_9419802" localSheetId="1">'Taškų lentelė'!$D$20</definedName>
    <definedName name="start_9435935" localSheetId="3">'Suaugusieji (Cempas)'!$N$256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C12" i="3"/>
  <c r="C16" i="3"/>
  <c r="C20" i="3"/>
  <c r="C24" i="3"/>
  <c r="C28" i="3"/>
  <c r="C33" i="3"/>
  <c r="C37" i="3"/>
  <c r="C41" i="3"/>
  <c r="C44" i="3"/>
  <c r="C48" i="3"/>
  <c r="C52" i="3"/>
  <c r="C56" i="3"/>
  <c r="BS5" i="3"/>
  <c r="C5" i="3" s="1"/>
  <c r="BS6" i="3"/>
  <c r="C6" i="3" s="1"/>
  <c r="BS7" i="3"/>
  <c r="C7" i="3" s="1"/>
  <c r="BS9" i="3"/>
  <c r="BS8" i="3"/>
  <c r="C8" i="3" s="1"/>
  <c r="BS10" i="3"/>
  <c r="C10" i="3" s="1"/>
  <c r="BS11" i="3"/>
  <c r="C11" i="3" s="1"/>
  <c r="BS12" i="3"/>
  <c r="BS13" i="3"/>
  <c r="C13" i="3" s="1"/>
  <c r="BS14" i="3"/>
  <c r="C14" i="3" s="1"/>
  <c r="BS15" i="3"/>
  <c r="C15" i="3" s="1"/>
  <c r="BS16" i="3"/>
  <c r="BS17" i="3"/>
  <c r="C17" i="3" s="1"/>
  <c r="BS18" i="3"/>
  <c r="C18" i="3" s="1"/>
  <c r="BS19" i="3"/>
  <c r="C19" i="3" s="1"/>
  <c r="BS20" i="3"/>
  <c r="BS21" i="3"/>
  <c r="C21" i="3" s="1"/>
  <c r="BS22" i="3"/>
  <c r="C22" i="3" s="1"/>
  <c r="BS23" i="3"/>
  <c r="C23" i="3" s="1"/>
  <c r="BS24" i="3"/>
  <c r="BS25" i="3"/>
  <c r="C25" i="3" s="1"/>
  <c r="BS26" i="3"/>
  <c r="C26" i="3" s="1"/>
  <c r="BS27" i="3"/>
  <c r="C27" i="3" s="1"/>
  <c r="BS28" i="3"/>
  <c r="BS29" i="3"/>
  <c r="C29" i="3" s="1"/>
  <c r="BS30" i="3"/>
  <c r="C30" i="3" s="1"/>
  <c r="BS31" i="3"/>
  <c r="C31" i="3" s="1"/>
  <c r="BS33" i="3"/>
  <c r="BS34" i="3"/>
  <c r="C34" i="3" s="1"/>
  <c r="BS35" i="3"/>
  <c r="C35" i="3" s="1"/>
  <c r="BS36" i="3"/>
  <c r="C36" i="3" s="1"/>
  <c r="BS37" i="3"/>
  <c r="BS38" i="3"/>
  <c r="C38" i="3" s="1"/>
  <c r="BS39" i="3"/>
  <c r="C39" i="3" s="1"/>
  <c r="BS40" i="3"/>
  <c r="C40" i="3" s="1"/>
  <c r="BS41" i="3"/>
  <c r="BS42" i="3"/>
  <c r="C42" i="3" s="1"/>
  <c r="BS43" i="3"/>
  <c r="C43" i="3" s="1"/>
  <c r="BS32" i="3"/>
  <c r="C32" i="3" s="1"/>
  <c r="BS44" i="3"/>
  <c r="BS45" i="3"/>
  <c r="C45" i="3" s="1"/>
  <c r="BS46" i="3"/>
  <c r="C46" i="3" s="1"/>
  <c r="BS47" i="3"/>
  <c r="C47" i="3" s="1"/>
  <c r="BS48" i="3"/>
  <c r="BS49" i="3"/>
  <c r="C49" i="3" s="1"/>
  <c r="BS50" i="3"/>
  <c r="C50" i="3" s="1"/>
  <c r="BS51" i="3"/>
  <c r="C51" i="3" s="1"/>
  <c r="BS52" i="3"/>
  <c r="BS53" i="3"/>
  <c r="C53" i="3" s="1"/>
  <c r="BS54" i="3"/>
  <c r="C54" i="3" s="1"/>
  <c r="BS55" i="3"/>
  <c r="C55" i="3" s="1"/>
  <c r="BS56" i="3"/>
  <c r="BS57" i="3"/>
  <c r="C57" i="3" s="1"/>
  <c r="BS4" i="3"/>
  <c r="C4" i="3" s="1"/>
  <c r="E575" i="14"/>
  <c r="C575" i="14"/>
  <c r="Q572" i="14"/>
  <c r="Q571" i="14"/>
  <c r="O571" i="14"/>
  <c r="K571" i="14"/>
  <c r="G571" i="14"/>
  <c r="C572" i="14"/>
  <c r="C571" i="14"/>
  <c r="M567" i="14"/>
  <c r="K567" i="14"/>
  <c r="G567" i="14"/>
  <c r="C567" i="14"/>
  <c r="Q563" i="14"/>
  <c r="O563" i="14"/>
  <c r="K563" i="14"/>
  <c r="G563" i="14"/>
  <c r="C563" i="14"/>
  <c r="M559" i="14"/>
  <c r="K559" i="14"/>
  <c r="C559" i="14" l="1"/>
  <c r="G559" i="14"/>
  <c r="C3" i="14"/>
  <c r="G3" i="14"/>
  <c r="K3" i="14"/>
  <c r="M3" i="14"/>
  <c r="C4" i="14"/>
  <c r="G4" i="14"/>
  <c r="K4" i="14"/>
  <c r="M4" i="14"/>
  <c r="C5" i="14"/>
  <c r="G5" i="14"/>
  <c r="K5" i="14"/>
  <c r="M5" i="14"/>
  <c r="C9" i="14"/>
  <c r="G9" i="14"/>
  <c r="K9" i="14"/>
  <c r="M9" i="14"/>
  <c r="C11" i="14"/>
  <c r="G11" i="14"/>
  <c r="K11" i="14"/>
  <c r="M11" i="14"/>
  <c r="C12" i="14"/>
  <c r="G12" i="14"/>
  <c r="K12" i="14"/>
  <c r="M12" i="14"/>
  <c r="C14" i="14"/>
  <c r="G14" i="14"/>
  <c r="K14" i="14"/>
  <c r="M14" i="14"/>
  <c r="C16" i="14"/>
  <c r="G16" i="14"/>
  <c r="K16" i="14"/>
  <c r="M16" i="14"/>
  <c r="G17" i="14"/>
  <c r="K17" i="14"/>
  <c r="M17" i="14"/>
  <c r="G19" i="14"/>
  <c r="M19" i="14" s="1"/>
  <c r="C23" i="14"/>
  <c r="G23" i="14"/>
  <c r="M23" i="14"/>
  <c r="K24" i="14"/>
  <c r="M24" i="14"/>
  <c r="C25" i="14"/>
  <c r="G25" i="14"/>
  <c r="K25" i="14"/>
  <c r="C26" i="14"/>
  <c r="G26" i="14"/>
  <c r="K26" i="14"/>
  <c r="G27" i="14"/>
  <c r="M27" i="14" s="1"/>
  <c r="G28" i="14"/>
  <c r="K28" i="14"/>
  <c r="M28" i="14"/>
  <c r="C29" i="14"/>
  <c r="G29" i="14"/>
  <c r="K29" i="14"/>
  <c r="M29" i="14"/>
  <c r="G30" i="14"/>
  <c r="M30" i="14" s="1"/>
  <c r="K30" i="14"/>
  <c r="C31" i="14"/>
  <c r="G31" i="14"/>
  <c r="K31" i="14"/>
  <c r="C32" i="14"/>
  <c r="G32" i="14"/>
  <c r="K32" i="14"/>
  <c r="M33" i="14"/>
  <c r="C34" i="14"/>
  <c r="M34" i="14" s="1"/>
  <c r="G34" i="14"/>
  <c r="K34" i="14"/>
  <c r="M35" i="14"/>
  <c r="C36" i="14"/>
  <c r="K36" i="14"/>
  <c r="M36" i="14"/>
  <c r="C37" i="14"/>
  <c r="M37" i="14" s="1"/>
  <c r="C38" i="14"/>
  <c r="G38" i="14"/>
  <c r="K38" i="14"/>
  <c r="G42" i="14"/>
  <c r="L42" i="14"/>
  <c r="C43" i="14"/>
  <c r="L43" i="14" s="1"/>
  <c r="G43" i="14"/>
  <c r="G44" i="14"/>
  <c r="L44" i="14"/>
  <c r="G45" i="14"/>
  <c r="L45" i="14"/>
  <c r="C46" i="14"/>
  <c r="L46" i="14"/>
  <c r="C47" i="14"/>
  <c r="L47" i="14"/>
  <c r="C48" i="14"/>
  <c r="L48" i="14"/>
  <c r="C49" i="14"/>
  <c r="G49" i="14"/>
  <c r="K49" i="14"/>
  <c r="L49" i="14"/>
  <c r="C50" i="14"/>
  <c r="L50" i="14"/>
  <c r="C51" i="14"/>
  <c r="L51" i="14" s="1"/>
  <c r="G51" i="14"/>
  <c r="K51" i="14"/>
  <c r="L52" i="14"/>
  <c r="C53" i="14"/>
  <c r="L53" i="14" s="1"/>
  <c r="C54" i="14"/>
  <c r="L54" i="14" s="1"/>
  <c r="G54" i="14"/>
  <c r="K54" i="14"/>
  <c r="C55" i="14"/>
  <c r="L55" i="14"/>
  <c r="C56" i="14"/>
  <c r="G56" i="14"/>
  <c r="L56" i="14"/>
  <c r="G57" i="14"/>
  <c r="L57" i="14" s="1"/>
  <c r="K57" i="14"/>
  <c r="C58" i="14"/>
  <c r="G58" i="14"/>
  <c r="L58" i="14"/>
  <c r="C59" i="14"/>
  <c r="G59" i="14"/>
  <c r="K59" i="14"/>
  <c r="L59" i="14"/>
  <c r="C63" i="14"/>
  <c r="I63" i="14"/>
  <c r="C64" i="14"/>
  <c r="G64" i="14"/>
  <c r="C65" i="14"/>
  <c r="G65" i="14"/>
  <c r="I65" i="14"/>
  <c r="C66" i="14"/>
  <c r="I66" i="14"/>
  <c r="C67" i="14"/>
  <c r="I67" i="14"/>
  <c r="C68" i="14"/>
  <c r="I68" i="14"/>
  <c r="C69" i="14"/>
  <c r="I69" i="14"/>
  <c r="C70" i="14"/>
  <c r="G70" i="14"/>
  <c r="I70" i="14"/>
  <c r="C71" i="14"/>
  <c r="I71" i="14" s="1"/>
  <c r="G72" i="14"/>
  <c r="I72" i="14" s="1"/>
  <c r="C73" i="14"/>
  <c r="G73" i="14"/>
  <c r="I73" i="14"/>
  <c r="C75" i="14"/>
  <c r="I75" i="14"/>
  <c r="K79" i="14"/>
  <c r="M79" i="14"/>
  <c r="C80" i="14"/>
  <c r="G80" i="14"/>
  <c r="G82" i="14"/>
  <c r="M82" i="14" s="1"/>
  <c r="K82" i="14"/>
  <c r="C83" i="14"/>
  <c r="G83" i="14"/>
  <c r="M83" i="14"/>
  <c r="G84" i="14"/>
  <c r="M84" i="14" s="1"/>
  <c r="K85" i="14"/>
  <c r="M85" i="14"/>
  <c r="G86" i="14"/>
  <c r="M86" i="14" s="1"/>
  <c r="C88" i="14"/>
  <c r="K88" i="14"/>
  <c r="M88" i="14"/>
  <c r="G89" i="14"/>
  <c r="M89" i="14"/>
  <c r="C90" i="14"/>
  <c r="K90" i="14"/>
  <c r="C92" i="14"/>
  <c r="M92" i="14" s="1"/>
  <c r="K92" i="14"/>
  <c r="K93" i="14"/>
  <c r="M93" i="14"/>
  <c r="C94" i="14"/>
  <c r="G94" i="14"/>
  <c r="K94" i="14"/>
  <c r="M94" i="14"/>
  <c r="C95" i="14"/>
  <c r="G95" i="14"/>
  <c r="K95" i="14"/>
  <c r="M95" i="14"/>
  <c r="C99" i="14"/>
  <c r="G99" i="14"/>
  <c r="K99" i="14"/>
  <c r="M99" i="14"/>
  <c r="K100" i="14"/>
  <c r="M100" i="14"/>
  <c r="C101" i="14"/>
  <c r="M101" i="14"/>
  <c r="K104" i="14"/>
  <c r="M104" i="14"/>
  <c r="G105" i="14"/>
  <c r="K105" i="14"/>
  <c r="M105" i="14" s="1"/>
  <c r="G106" i="14"/>
  <c r="M106" i="14" s="1"/>
  <c r="C108" i="14"/>
  <c r="G108" i="14"/>
  <c r="K108" i="14"/>
  <c r="G109" i="14"/>
  <c r="K109" i="14"/>
  <c r="M109" i="14"/>
  <c r="K110" i="14"/>
  <c r="M110" i="14"/>
  <c r="C111" i="14"/>
  <c r="M111" i="14" s="1"/>
  <c r="G111" i="14"/>
  <c r="K111" i="14"/>
  <c r="C112" i="14"/>
  <c r="M112" i="14"/>
  <c r="G113" i="14"/>
  <c r="K113" i="14"/>
  <c r="M113" i="14"/>
  <c r="C114" i="14"/>
  <c r="M114" i="14" s="1"/>
  <c r="G114" i="14"/>
  <c r="K114" i="14"/>
  <c r="G119" i="14"/>
  <c r="I119" i="14" s="1"/>
  <c r="C120" i="14"/>
  <c r="G120" i="14"/>
  <c r="I120" i="14"/>
  <c r="C121" i="14"/>
  <c r="I121" i="14"/>
  <c r="C123" i="14"/>
  <c r="G123" i="14"/>
  <c r="G125" i="14"/>
  <c r="I125" i="14" s="1"/>
  <c r="C127" i="14"/>
  <c r="G127" i="14"/>
  <c r="I127" i="14"/>
  <c r="C128" i="14"/>
  <c r="I128" i="14"/>
  <c r="G129" i="14"/>
  <c r="I129" i="14"/>
  <c r="C130" i="14"/>
  <c r="G130" i="14"/>
  <c r="C131" i="14"/>
  <c r="I131" i="14" s="1"/>
  <c r="G131" i="14"/>
  <c r="C138" i="14"/>
  <c r="C139" i="14"/>
  <c r="C140" i="14"/>
  <c r="C142" i="14"/>
  <c r="C144" i="14"/>
  <c r="C145" i="14"/>
  <c r="C151" i="14"/>
  <c r="C152" i="14"/>
  <c r="C153" i="14"/>
  <c r="C154" i="14"/>
  <c r="C157" i="14"/>
  <c r="C159" i="14"/>
  <c r="C160" i="14"/>
  <c r="C161" i="14"/>
  <c r="C166" i="14"/>
  <c r="M166" i="14" s="1"/>
  <c r="K166" i="14"/>
  <c r="G167" i="14"/>
  <c r="K167" i="14"/>
  <c r="M167" i="14"/>
  <c r="C168" i="14"/>
  <c r="M168" i="14"/>
  <c r="C169" i="14"/>
  <c r="K169" i="14"/>
  <c r="C170" i="14"/>
  <c r="K170" i="14"/>
  <c r="M170" i="14"/>
  <c r="O170" i="14" s="1"/>
  <c r="G171" i="14"/>
  <c r="M171" i="14" s="1"/>
  <c r="K171" i="14"/>
  <c r="K172" i="14"/>
  <c r="M172" i="14"/>
  <c r="G173" i="14"/>
  <c r="K173" i="14"/>
  <c r="C174" i="14"/>
  <c r="M174" i="14" s="1"/>
  <c r="G174" i="14"/>
  <c r="G175" i="14"/>
  <c r="M175" i="14"/>
  <c r="C176" i="14"/>
  <c r="M176" i="14" s="1"/>
  <c r="O176" i="14" s="1"/>
  <c r="G176" i="14"/>
  <c r="K176" i="14"/>
  <c r="C177" i="14"/>
  <c r="M177" i="14"/>
  <c r="C178" i="14"/>
  <c r="M178" i="14"/>
  <c r="C179" i="14"/>
  <c r="M179" i="14"/>
  <c r="G180" i="14"/>
  <c r="M180" i="14" s="1"/>
  <c r="C181" i="14"/>
  <c r="M181" i="14" s="1"/>
  <c r="G181" i="14"/>
  <c r="G182" i="14"/>
  <c r="K182" i="14"/>
  <c r="M182" i="14" s="1"/>
  <c r="C183" i="14"/>
  <c r="M183" i="14" s="1"/>
  <c r="O183" i="14" s="1"/>
  <c r="G183" i="14"/>
  <c r="K183" i="14"/>
  <c r="G187" i="14"/>
  <c r="K187" i="14"/>
  <c r="M187" i="14" s="1"/>
  <c r="C188" i="14"/>
  <c r="M188" i="14" s="1"/>
  <c r="G188" i="14"/>
  <c r="K188" i="14"/>
  <c r="C189" i="14"/>
  <c r="M189" i="14" s="1"/>
  <c r="G189" i="14"/>
  <c r="K189" i="14"/>
  <c r="G190" i="14"/>
  <c r="K190" i="14"/>
  <c r="M190" i="14"/>
  <c r="C191" i="14"/>
  <c r="M191" i="14"/>
  <c r="G192" i="14"/>
  <c r="M192" i="14"/>
  <c r="C193" i="14"/>
  <c r="G193" i="14"/>
  <c r="K193" i="14"/>
  <c r="M193" i="14"/>
  <c r="C194" i="14"/>
  <c r="G194" i="14"/>
  <c r="K194" i="14"/>
  <c r="M194" i="14"/>
  <c r="C195" i="14"/>
  <c r="M195" i="14"/>
  <c r="G196" i="14"/>
  <c r="M196" i="14"/>
  <c r="K197" i="14"/>
  <c r="M197" i="14"/>
  <c r="K198" i="14"/>
  <c r="M198" i="14"/>
  <c r="G203" i="14"/>
  <c r="L203" i="14"/>
  <c r="G204" i="14"/>
  <c r="L204" i="14"/>
  <c r="K205" i="14"/>
  <c r="L205" i="14"/>
  <c r="G206" i="14"/>
  <c r="K206" i="14"/>
  <c r="L206" i="14" s="1"/>
  <c r="G207" i="14"/>
  <c r="L207" i="14" s="1"/>
  <c r="C208" i="14"/>
  <c r="L208" i="14"/>
  <c r="C209" i="14"/>
  <c r="G209" i="14"/>
  <c r="L209" i="14"/>
  <c r="C210" i="14"/>
  <c r="L210" i="14" s="1"/>
  <c r="G211" i="14"/>
  <c r="K211" i="14"/>
  <c r="L211" i="14"/>
  <c r="C212" i="14"/>
  <c r="K212" i="14"/>
  <c r="L212" i="14"/>
  <c r="K213" i="14"/>
  <c r="L213" i="14" s="1"/>
  <c r="K214" i="14"/>
  <c r="L214" i="14"/>
  <c r="C219" i="14"/>
  <c r="H219" i="14" s="1"/>
  <c r="G219" i="14"/>
  <c r="C220" i="14"/>
  <c r="G220" i="14"/>
  <c r="H220" i="14"/>
  <c r="G221" i="14"/>
  <c r="H221" i="14"/>
  <c r="C222" i="14"/>
  <c r="G222" i="14"/>
  <c r="C226" i="14"/>
  <c r="C227" i="14"/>
  <c r="C232" i="14"/>
  <c r="C233" i="14"/>
  <c r="C237" i="14"/>
  <c r="G237" i="14"/>
  <c r="K237" i="14"/>
  <c r="G238" i="14"/>
  <c r="L238" i="14" s="1"/>
  <c r="K238" i="14"/>
  <c r="C239" i="14"/>
  <c r="G239" i="14"/>
  <c r="L239" i="14" s="1"/>
  <c r="K239" i="14"/>
  <c r="C240" i="14"/>
  <c r="L240" i="14"/>
  <c r="C241" i="14"/>
  <c r="G241" i="14"/>
  <c r="K241" i="14"/>
  <c r="L241" i="14"/>
  <c r="G242" i="14"/>
  <c r="L242" i="14"/>
  <c r="C243" i="14"/>
  <c r="G243" i="14"/>
  <c r="L243" i="14" s="1"/>
  <c r="K243" i="14"/>
  <c r="C244" i="14"/>
  <c r="G244" i="14"/>
  <c r="L244" i="14" s="1"/>
  <c r="K244" i="14"/>
  <c r="C245" i="14"/>
  <c r="G245" i="14"/>
  <c r="L245" i="14" s="1"/>
  <c r="K245" i="14"/>
  <c r="C246" i="14"/>
  <c r="L246" i="14"/>
  <c r="G247" i="14"/>
  <c r="L247" i="14"/>
  <c r="C248" i="14"/>
  <c r="G248" i="14"/>
  <c r="L248" i="14" s="1"/>
  <c r="K248" i="14"/>
  <c r="G253" i="14"/>
  <c r="K253" i="14"/>
  <c r="AL253" i="14" s="1"/>
  <c r="O253" i="14"/>
  <c r="G254" i="14"/>
  <c r="K254" i="14"/>
  <c r="AL254" i="14" s="1"/>
  <c r="O254" i="14"/>
  <c r="G255" i="14"/>
  <c r="K255" i="14"/>
  <c r="AL255" i="14" s="1"/>
  <c r="K256" i="14"/>
  <c r="O256" i="14"/>
  <c r="AL256" i="14"/>
  <c r="T257" i="14"/>
  <c r="Y257" i="14"/>
  <c r="AK257" i="14"/>
  <c r="AL257" i="14"/>
  <c r="C258" i="14"/>
  <c r="T258" i="14"/>
  <c r="AC258" i="14"/>
  <c r="AG258" i="14"/>
  <c r="AL258" i="14" s="1"/>
  <c r="AK258" i="14"/>
  <c r="C259" i="14"/>
  <c r="T259" i="14"/>
  <c r="AL259" i="14" s="1"/>
  <c r="Y259" i="14"/>
  <c r="AC259" i="14"/>
  <c r="AG259" i="14"/>
  <c r="AK259" i="14"/>
  <c r="C260" i="14"/>
  <c r="AL260" i="14" s="1"/>
  <c r="AC260" i="14"/>
  <c r="AK260" i="14"/>
  <c r="S264" i="14"/>
  <c r="AK264" i="14" s="1"/>
  <c r="AA264" i="14"/>
  <c r="AI264" i="14"/>
  <c r="C265" i="14"/>
  <c r="O265" i="14"/>
  <c r="W265" i="14"/>
  <c r="AE265" i="14"/>
  <c r="AI265" i="14"/>
  <c r="K266" i="14"/>
  <c r="S266" i="14"/>
  <c r="AA266" i="14"/>
  <c r="G267" i="14"/>
  <c r="O267" i="14"/>
  <c r="AI267" i="14"/>
  <c r="C268" i="14"/>
  <c r="W268" i="14"/>
  <c r="AE268" i="14"/>
  <c r="C269" i="14"/>
  <c r="G269" i="14"/>
  <c r="W269" i="14"/>
  <c r="AE269" i="14"/>
  <c r="AK269" i="14"/>
  <c r="C270" i="14"/>
  <c r="W270" i="14"/>
  <c r="AE270" i="14"/>
  <c r="AK270" i="14"/>
  <c r="K271" i="14"/>
  <c r="S271" i="14"/>
  <c r="AA271" i="14"/>
  <c r="AK271" i="14"/>
  <c r="K272" i="14"/>
  <c r="S272" i="14"/>
  <c r="K273" i="14"/>
  <c r="AK273" i="14"/>
  <c r="O274" i="14"/>
  <c r="AE274" i="14"/>
  <c r="AK274" i="14"/>
  <c r="S275" i="14"/>
  <c r="AK275" i="14" s="1"/>
  <c r="AA275" i="14"/>
  <c r="S276" i="14"/>
  <c r="AK276" i="14"/>
  <c r="C280" i="14"/>
  <c r="M280" i="14" s="1"/>
  <c r="G280" i="14"/>
  <c r="K280" i="14"/>
  <c r="C281" i="14"/>
  <c r="M281" i="14" s="1"/>
  <c r="G281" i="14"/>
  <c r="K281" i="14"/>
  <c r="C282" i="14"/>
  <c r="M282" i="14" s="1"/>
  <c r="G282" i="14"/>
  <c r="K282" i="14"/>
  <c r="G283" i="14"/>
  <c r="M283" i="14" s="1"/>
  <c r="C284" i="14"/>
  <c r="G284" i="14"/>
  <c r="K284" i="14"/>
  <c r="C285" i="14"/>
  <c r="M285" i="14" s="1"/>
  <c r="G285" i="14"/>
  <c r="K285" i="14"/>
  <c r="C286" i="14"/>
  <c r="G286" i="14"/>
  <c r="K286" i="14"/>
  <c r="C287" i="14"/>
  <c r="G287" i="14"/>
  <c r="M287" i="14"/>
  <c r="C288" i="14"/>
  <c r="G288" i="14"/>
  <c r="K288" i="14"/>
  <c r="M288" i="14"/>
  <c r="G289" i="14"/>
  <c r="M289" i="14"/>
  <c r="C292" i="14"/>
  <c r="G292" i="14"/>
  <c r="O292" i="14"/>
  <c r="S292" i="14"/>
  <c r="W292" i="14"/>
  <c r="Y292" i="14"/>
  <c r="G293" i="14"/>
  <c r="O293" i="14"/>
  <c r="W293" i="14"/>
  <c r="Y293" i="14"/>
  <c r="G294" i="14"/>
  <c r="O294" i="14"/>
  <c r="W294" i="14"/>
  <c r="Y294" i="14"/>
  <c r="C295" i="14"/>
  <c r="Y295" i="14"/>
  <c r="C296" i="14"/>
  <c r="Y296" i="14" s="1"/>
  <c r="K296" i="14"/>
  <c r="S296" i="14"/>
  <c r="C297" i="14"/>
  <c r="K297" i="14"/>
  <c r="C301" i="14"/>
  <c r="G301" i="14"/>
  <c r="K301" i="14"/>
  <c r="C302" i="14"/>
  <c r="L302" i="14" s="1"/>
  <c r="G302" i="14"/>
  <c r="K302" i="14"/>
  <c r="G303" i="14"/>
  <c r="L303" i="14"/>
  <c r="C304" i="14"/>
  <c r="G304" i="14"/>
  <c r="K304" i="14"/>
  <c r="L304" i="14"/>
  <c r="K305" i="14"/>
  <c r="L305" i="14" s="1"/>
  <c r="K309" i="14"/>
  <c r="L309" i="14"/>
  <c r="C310" i="14"/>
  <c r="L310" i="14" s="1"/>
  <c r="G310" i="14"/>
  <c r="C311" i="14"/>
  <c r="L311" i="14" s="1"/>
  <c r="G311" i="14"/>
  <c r="K311" i="14"/>
  <c r="C312" i="14"/>
  <c r="K312" i="14"/>
  <c r="G313" i="14"/>
  <c r="K313" i="14"/>
  <c r="L313" i="14"/>
  <c r="G314" i="14"/>
  <c r="K314" i="14"/>
  <c r="L314" i="14"/>
  <c r="C315" i="14"/>
  <c r="L315" i="14" s="1"/>
  <c r="G315" i="14"/>
  <c r="K315" i="14"/>
  <c r="K316" i="14"/>
  <c r="L316" i="14" s="1"/>
  <c r="C323" i="14"/>
  <c r="L323" i="14" s="1"/>
  <c r="G323" i="14"/>
  <c r="K323" i="14"/>
  <c r="C327" i="14"/>
  <c r="C331" i="14"/>
  <c r="G331" i="14"/>
  <c r="K331" i="14"/>
  <c r="O331" i="14"/>
  <c r="S331" i="14"/>
  <c r="W331" i="14"/>
  <c r="S332" i="14"/>
  <c r="W332" i="14"/>
  <c r="Y332" i="14"/>
  <c r="C333" i="14"/>
  <c r="O333" i="14"/>
  <c r="S333" i="14"/>
  <c r="Y333" i="14"/>
  <c r="C337" i="14"/>
  <c r="K337" i="14"/>
  <c r="W337" i="14"/>
  <c r="AC337" i="14"/>
  <c r="C338" i="14"/>
  <c r="G338" i="14"/>
  <c r="O338" i="14"/>
  <c r="S338" i="14"/>
  <c r="AC338" i="14" s="1"/>
  <c r="AA338" i="14"/>
  <c r="C339" i="14"/>
  <c r="K339" i="14"/>
  <c r="AC339" i="14" s="1"/>
  <c r="S339" i="14"/>
  <c r="G343" i="14"/>
  <c r="O343" i="14"/>
  <c r="S343" i="14"/>
  <c r="W343" i="14"/>
  <c r="AE343" i="14"/>
  <c r="AG343" i="14"/>
  <c r="G344" i="14"/>
  <c r="AA344" i="14"/>
  <c r="AG344" i="14"/>
  <c r="C345" i="14"/>
  <c r="AG345" i="14" s="1"/>
  <c r="K345" i="14"/>
  <c r="C346" i="14"/>
  <c r="G346" i="14"/>
  <c r="AG346" i="14" s="1"/>
  <c r="K346" i="14"/>
  <c r="AE346" i="14"/>
  <c r="C347" i="14"/>
  <c r="AG347" i="14" s="1"/>
  <c r="O347" i="14"/>
  <c r="S347" i="14"/>
  <c r="C351" i="14"/>
  <c r="G351" i="14"/>
  <c r="K351" i="14"/>
  <c r="W351" i="14"/>
  <c r="AI351" i="14"/>
  <c r="AK351" i="14" s="1"/>
  <c r="G352" i="14"/>
  <c r="S352" i="14"/>
  <c r="AE352" i="14"/>
  <c r="AK352" i="14" s="1"/>
  <c r="K353" i="14"/>
  <c r="AK353" i="14" s="1"/>
  <c r="O353" i="14"/>
  <c r="K354" i="14"/>
  <c r="S354" i="14"/>
  <c r="AE354" i="14"/>
  <c r="AI354" i="14"/>
  <c r="S355" i="14"/>
  <c r="AK355" i="14"/>
  <c r="AA356" i="14"/>
  <c r="AK356" i="14" s="1"/>
  <c r="S357" i="14"/>
  <c r="AK357" i="14"/>
  <c r="C361" i="14"/>
  <c r="Q361" i="14" s="1"/>
  <c r="G361" i="14"/>
  <c r="K361" i="14"/>
  <c r="C362" i="14"/>
  <c r="Q362" i="14" s="1"/>
  <c r="O362" i="14"/>
  <c r="C366" i="14"/>
  <c r="C370" i="14"/>
  <c r="W374" i="14"/>
  <c r="AC374" i="14"/>
  <c r="O375" i="14"/>
  <c r="W375" i="14"/>
  <c r="AC375" i="14" s="1"/>
  <c r="C376" i="14"/>
  <c r="K376" i="14"/>
  <c r="S376" i="14"/>
  <c r="AC376" i="14" s="1"/>
  <c r="W376" i="14"/>
  <c r="AA376" i="14"/>
  <c r="G377" i="14"/>
  <c r="AC377" i="14" s="1"/>
  <c r="K377" i="14"/>
  <c r="W377" i="14"/>
  <c r="C378" i="14"/>
  <c r="G378" i="14"/>
  <c r="K378" i="14"/>
  <c r="O378" i="14"/>
  <c r="S378" i="14"/>
  <c r="AC378" i="14" s="1"/>
  <c r="W378" i="14"/>
  <c r="AA378" i="14"/>
  <c r="K379" i="14"/>
  <c r="AC379" i="14" s="1"/>
  <c r="S379" i="14"/>
  <c r="K380" i="14"/>
  <c r="S380" i="14"/>
  <c r="AC380" i="14" s="1"/>
  <c r="K381" i="14"/>
  <c r="AC381" i="14" s="1"/>
  <c r="G382" i="14"/>
  <c r="AC382" i="14" s="1"/>
  <c r="O383" i="14"/>
  <c r="W383" i="14"/>
  <c r="AA383" i="14"/>
  <c r="S384" i="14"/>
  <c r="AC384" i="14"/>
  <c r="C388" i="14"/>
  <c r="G388" i="14"/>
  <c r="K388" i="14"/>
  <c r="O388" i="14"/>
  <c r="S388" i="14"/>
  <c r="U388" i="14" s="1"/>
  <c r="C392" i="14"/>
  <c r="G392" i="14"/>
  <c r="K392" i="14"/>
  <c r="Q392" i="14" s="1"/>
  <c r="O392" i="14"/>
  <c r="C396" i="14"/>
  <c r="G396" i="14"/>
  <c r="K396" i="14"/>
  <c r="O396" i="14"/>
  <c r="S396" i="14"/>
  <c r="W396" i="14"/>
  <c r="Y396" i="14" s="1"/>
  <c r="C400" i="14"/>
  <c r="G400" i="14"/>
  <c r="K400" i="14"/>
  <c r="O404" i="14"/>
  <c r="S404" i="14"/>
  <c r="Y404" i="14" s="1"/>
  <c r="C405" i="14"/>
  <c r="G405" i="14"/>
  <c r="K405" i="14"/>
  <c r="Y405" i="14" s="1"/>
  <c r="O405" i="14"/>
  <c r="W405" i="14"/>
  <c r="K406" i="14"/>
  <c r="S406" i="14"/>
  <c r="K407" i="14"/>
  <c r="S407" i="14"/>
  <c r="Y407" i="14"/>
  <c r="C408" i="14"/>
  <c r="G408" i="14"/>
  <c r="K408" i="14"/>
  <c r="O408" i="14"/>
  <c r="Y408" i="14" s="1"/>
  <c r="G409" i="14"/>
  <c r="K409" i="14"/>
  <c r="O409" i="14"/>
  <c r="Y409" i="14" s="1"/>
  <c r="C410" i="14"/>
  <c r="Y410" i="14" s="1"/>
  <c r="C414" i="14"/>
  <c r="G414" i="14"/>
  <c r="K414" i="14"/>
  <c r="Q414" i="14" s="1"/>
  <c r="O414" i="14"/>
  <c r="G418" i="14"/>
  <c r="O418" i="14"/>
  <c r="S418" i="14"/>
  <c r="W418" i="14"/>
  <c r="C419" i="14"/>
  <c r="K419" i="14"/>
  <c r="W419" i="14"/>
  <c r="W420" i="14"/>
  <c r="Y420" i="14"/>
  <c r="W421" i="14"/>
  <c r="Y421" i="14" s="1"/>
  <c r="K426" i="14"/>
  <c r="W426" i="14"/>
  <c r="AC426" i="14"/>
  <c r="C427" i="14"/>
  <c r="K427" i="14"/>
  <c r="O427" i="14"/>
  <c r="S427" i="14"/>
  <c r="AC427" i="14" s="1"/>
  <c r="AA427" i="14"/>
  <c r="G428" i="14"/>
  <c r="K428" i="14"/>
  <c r="O428" i="14"/>
  <c r="S428" i="14"/>
  <c r="W428" i="14"/>
  <c r="AA428" i="14"/>
  <c r="AC428" i="14" s="1"/>
  <c r="C429" i="14"/>
  <c r="AC429" i="14" s="1"/>
  <c r="S429" i="14"/>
  <c r="C433" i="14"/>
  <c r="K437" i="14"/>
  <c r="O437" i="14"/>
  <c r="S437" i="14"/>
  <c r="W437" i="14"/>
  <c r="Y437" i="14"/>
  <c r="C438" i="14"/>
  <c r="G438" i="14"/>
  <c r="Y438" i="14" s="1"/>
  <c r="C442" i="14"/>
  <c r="K442" i="14"/>
  <c r="O442" i="14"/>
  <c r="G443" i="14"/>
  <c r="O443" i="14"/>
  <c r="Q443" i="14"/>
  <c r="O444" i="14"/>
  <c r="Q444" i="14"/>
  <c r="O445" i="14"/>
  <c r="Q445" i="14"/>
  <c r="C449" i="14"/>
  <c r="G449" i="14"/>
  <c r="K449" i="14"/>
  <c r="O449" i="14"/>
  <c r="AG449" i="14" s="1"/>
  <c r="O450" i="14"/>
  <c r="S450" i="14"/>
  <c r="W450" i="14"/>
  <c r="AG450" i="14" s="1"/>
  <c r="AA450" i="14"/>
  <c r="AE451" i="14"/>
  <c r="AG451" i="14"/>
  <c r="C454" i="14"/>
  <c r="G454" i="14"/>
  <c r="K454" i="14"/>
  <c r="O454" i="14"/>
  <c r="U454" i="14" s="1"/>
  <c r="C455" i="14"/>
  <c r="K455" i="14"/>
  <c r="O455" i="14"/>
  <c r="S455" i="14"/>
  <c r="U455" i="14"/>
  <c r="C459" i="14"/>
  <c r="C463" i="14"/>
  <c r="C467" i="14"/>
  <c r="K467" i="14"/>
  <c r="S467" i="14"/>
  <c r="W467" i="14"/>
  <c r="O468" i="14"/>
  <c r="Y468" i="14"/>
  <c r="G469" i="14"/>
  <c r="Y469" i="14" s="1"/>
  <c r="G470" i="14"/>
  <c r="O470" i="14"/>
  <c r="W470" i="14"/>
  <c r="Y470" i="14" s="1"/>
  <c r="G471" i="14"/>
  <c r="Y471" i="14"/>
  <c r="K472" i="14"/>
  <c r="Y472" i="14" s="1"/>
  <c r="C476" i="14"/>
  <c r="G476" i="14"/>
  <c r="K476" i="14"/>
  <c r="S476" i="14"/>
  <c r="W476" i="14"/>
  <c r="AC476" i="14" s="1"/>
  <c r="AA476" i="14"/>
  <c r="K477" i="14"/>
  <c r="AC477" i="14"/>
  <c r="K478" i="14"/>
  <c r="W478" i="14"/>
  <c r="AC478" i="14" s="1"/>
  <c r="S479" i="14"/>
  <c r="AC479" i="14"/>
  <c r="S480" i="14"/>
  <c r="AC480" i="14" s="1"/>
  <c r="S481" i="14"/>
  <c r="AC481" i="14"/>
  <c r="S482" i="14"/>
  <c r="AC482" i="14" s="1"/>
  <c r="C483" i="14"/>
  <c r="O483" i="14"/>
  <c r="S483" i="14"/>
  <c r="AC483" i="14" s="1"/>
  <c r="C487" i="14"/>
  <c r="C491" i="14"/>
  <c r="C495" i="14"/>
  <c r="G495" i="14"/>
  <c r="K495" i="14"/>
  <c r="Q495" i="14" s="1"/>
  <c r="O495" i="14"/>
  <c r="C499" i="14"/>
  <c r="C503" i="14"/>
  <c r="I503" i="14" s="1"/>
  <c r="G503" i="14"/>
  <c r="C507" i="14"/>
  <c r="C511" i="14"/>
  <c r="S511" i="14"/>
  <c r="W511" i="14"/>
  <c r="AA511" i="14"/>
  <c r="AC511" i="14"/>
  <c r="G512" i="14"/>
  <c r="K512" i="14"/>
  <c r="O512" i="14"/>
  <c r="AA512" i="14"/>
  <c r="AC512" i="14" s="1"/>
  <c r="C516" i="14"/>
  <c r="G516" i="14"/>
  <c r="K516" i="14"/>
  <c r="M516" i="14" s="1"/>
  <c r="C520" i="14"/>
  <c r="C524" i="14"/>
  <c r="G524" i="14"/>
  <c r="K524" i="14"/>
  <c r="O524" i="14"/>
  <c r="C528" i="14"/>
  <c r="G528" i="14"/>
  <c r="K528" i="14"/>
  <c r="G529" i="14"/>
  <c r="O529" i="14"/>
  <c r="Q529" i="14"/>
  <c r="G530" i="14"/>
  <c r="Q530" i="14"/>
  <c r="K531" i="14"/>
  <c r="Q531" i="14"/>
  <c r="C535" i="14"/>
  <c r="G535" i="14"/>
  <c r="K535" i="14"/>
  <c r="O535" i="14"/>
  <c r="Q535" i="14" s="1"/>
  <c r="C539" i="14"/>
  <c r="G539" i="14"/>
  <c r="I539" i="14"/>
  <c r="C543" i="14"/>
  <c r="G543" i="14"/>
  <c r="K543" i="14"/>
  <c r="O543" i="14"/>
  <c r="S543" i="14"/>
  <c r="W543" i="14"/>
  <c r="AA543" i="14"/>
  <c r="AC543" i="14"/>
  <c r="C547" i="14"/>
  <c r="G547" i="14"/>
  <c r="K547" i="14"/>
  <c r="M547" i="14"/>
  <c r="C548" i="14"/>
  <c r="G548" i="14"/>
  <c r="M548" i="14"/>
  <c r="C549" i="14"/>
  <c r="M549" i="14" s="1"/>
  <c r="G549" i="14"/>
  <c r="K549" i="14"/>
  <c r="C550" i="14"/>
  <c r="M550" i="14" s="1"/>
  <c r="C551" i="14"/>
  <c r="G551" i="14"/>
  <c r="K551" i="14"/>
  <c r="C552" i="14"/>
  <c r="G552" i="14"/>
  <c r="K552" i="14"/>
  <c r="C553" i="14"/>
  <c r="G553" i="14"/>
  <c r="K553" i="14"/>
  <c r="M553" i="14" s="1"/>
  <c r="C554" i="14"/>
  <c r="G554" i="14"/>
  <c r="K554" i="14"/>
  <c r="M554" i="14" s="1"/>
  <c r="C555" i="14"/>
  <c r="G555" i="14"/>
  <c r="K555" i="14"/>
  <c r="Y297" i="14" l="1"/>
  <c r="M286" i="14"/>
  <c r="H222" i="14"/>
  <c r="M108" i="14"/>
  <c r="I64" i="14"/>
  <c r="M31" i="14"/>
  <c r="M555" i="14"/>
  <c r="M551" i="14"/>
  <c r="Q524" i="14"/>
  <c r="Y467" i="14"/>
  <c r="Y418" i="14"/>
  <c r="M400" i="14"/>
  <c r="AK354" i="14"/>
  <c r="AK267" i="14"/>
  <c r="AK265" i="14"/>
  <c r="I123" i="14"/>
  <c r="M90" i="14"/>
  <c r="M32" i="14"/>
  <c r="M25" i="14"/>
  <c r="O178" i="14"/>
  <c r="L312" i="14"/>
  <c r="AK266" i="14"/>
  <c r="M169" i="14"/>
  <c r="M38" i="14"/>
  <c r="M552" i="14"/>
  <c r="Q528" i="14"/>
  <c r="Q442" i="14"/>
  <c r="Y419" i="14"/>
  <c r="Y406" i="14"/>
  <c r="AC383" i="14"/>
  <c r="Y331" i="14"/>
  <c r="L301" i="14"/>
  <c r="M284" i="14"/>
  <c r="AK272" i="14"/>
  <c r="AK268" i="14"/>
  <c r="L237" i="14"/>
  <c r="M173" i="14"/>
  <c r="O173" i="14" s="1"/>
  <c r="I130" i="14"/>
  <c r="M80" i="14"/>
  <c r="M26" i="14"/>
  <c r="H5" i="12" l="1"/>
  <c r="H6" i="12"/>
  <c r="H7" i="12"/>
  <c r="H8" i="12"/>
  <c r="H9" i="12"/>
  <c r="H11" i="12"/>
  <c r="H12" i="12"/>
  <c r="H10" i="12"/>
  <c r="H14" i="12"/>
  <c r="H13" i="12"/>
  <c r="H15" i="12"/>
  <c r="H16" i="12"/>
  <c r="H17" i="12"/>
  <c r="H18" i="12"/>
  <c r="H19" i="12"/>
  <c r="H4" i="12"/>
  <c r="N5" i="8" l="1"/>
  <c r="N6" i="8"/>
  <c r="N7" i="8"/>
  <c r="N9" i="8"/>
  <c r="N10" i="8"/>
  <c r="N8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" i="8"/>
  <c r="G6" i="4" l="1"/>
  <c r="G8" i="4"/>
  <c r="G9" i="4"/>
  <c r="G7" i="4"/>
  <c r="G10" i="4"/>
  <c r="G5" i="4"/>
  <c r="K13" i="5" l="1"/>
  <c r="K9" i="5"/>
  <c r="K10" i="5"/>
  <c r="K4" i="5"/>
  <c r="K15" i="5"/>
  <c r="K5" i="5"/>
  <c r="K19" i="5"/>
  <c r="K14" i="5"/>
  <c r="K17" i="5"/>
  <c r="K6" i="5"/>
  <c r="K7" i="5"/>
  <c r="K16" i="5"/>
  <c r="K12" i="5"/>
  <c r="K8" i="5"/>
  <c r="K11" i="5"/>
  <c r="K18" i="5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" i="6"/>
  <c r="E14" i="13" l="1"/>
  <c r="E13" i="13"/>
  <c r="E6" i="13"/>
  <c r="E12" i="13"/>
  <c r="E11" i="13"/>
  <c r="E5" i="13"/>
  <c r="E10" i="13"/>
  <c r="E9" i="13"/>
  <c r="E7" i="13"/>
  <c r="E16" i="13"/>
  <c r="E8" i="13"/>
  <c r="E4" i="13"/>
  <c r="E15" i="13"/>
  <c r="I7" i="7" l="1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6" i="7"/>
  <c r="H29" i="11" l="1"/>
  <c r="H33" i="11"/>
  <c r="H20" i="11"/>
  <c r="H9" i="11"/>
  <c r="H12" i="11"/>
  <c r="H16" i="11"/>
  <c r="H32" i="11"/>
  <c r="H5" i="11"/>
  <c r="H22" i="11"/>
  <c r="H25" i="11"/>
  <c r="H27" i="11"/>
  <c r="H21" i="11"/>
  <c r="H30" i="11"/>
  <c r="H23" i="11"/>
  <c r="H6" i="11"/>
  <c r="H19" i="11"/>
  <c r="H36" i="11"/>
  <c r="H4" i="11"/>
  <c r="H35" i="11"/>
  <c r="H28" i="11"/>
  <c r="H11" i="11"/>
  <c r="H15" i="11"/>
  <c r="H34" i="11"/>
  <c r="H10" i="11"/>
  <c r="H26" i="11"/>
  <c r="H7" i="11"/>
  <c r="H14" i="11"/>
  <c r="H8" i="11"/>
  <c r="H13" i="11"/>
  <c r="H17" i="11"/>
  <c r="H24" i="11"/>
  <c r="H31" i="11"/>
  <c r="H18" i="11"/>
</calcChain>
</file>

<file path=xl/sharedStrings.xml><?xml version="1.0" encoding="utf-8"?>
<sst xmlns="http://schemas.openxmlformats.org/spreadsheetml/2006/main" count="2196" uniqueCount="468">
  <si>
    <t>Kvalifikacinių taškų lentelė</t>
  </si>
  <si>
    <t>Dalyvių skaičius</t>
  </si>
  <si>
    <t>Užimta vieta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</si>
  <si>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</si>
  <si>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</si>
  <si>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</si>
  <si>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</si>
  <si>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</si>
  <si>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</si>
  <si>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</si>
  <si>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</si>
  <si>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</si>
  <si>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</si>
  <si>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</si>
  <si>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</si>
  <si>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</si>
  <si>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</si>
  <si>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</si>
  <si>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</si>
  <si>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LŽSF nacionalinių ir tarptautinių konkūrų varžybų reitinginių taškų skaičiavimo tvarka</t>
  </si>
  <si>
    <t>Eil. Nr.</t>
  </si>
  <si>
    <t>Varžybų pavadinimas</t>
  </si>
  <si>
    <t xml:space="preserve">Koeficientas </t>
  </si>
  <si>
    <t>Papildomas koeficientas už konkūro aukštį</t>
  </si>
  <si>
    <t>130-140 cm</t>
  </si>
  <si>
    <t>145-155 cm</t>
  </si>
  <si>
    <t>Nacionalinės konkūrinio jojimo varžybos Lietuvoje ir užsienyje</t>
  </si>
  <si>
    <t xml:space="preserve">FEI Children International Classics </t>
  </si>
  <si>
    <t>Baltic Jumping League</t>
  </si>
  <si>
    <t>CSICh/CSIJ/CSIYR/CSIU25/CSI-Am/CSIP</t>
  </si>
  <si>
    <t>CSI1*/ CSI2*/CSI2*-W/CSIO2*</t>
  </si>
  <si>
    <t>CSI3*/CSI3*-W/CSIO3*</t>
  </si>
  <si>
    <t>CSI4*/CSI4*-W/CSIO4*//CSI3*-W LF</t>
  </si>
  <si>
    <t>CSI5*/CSI5*-W/CSIO5*</t>
  </si>
  <si>
    <t>FEI World Cup Final, World Equestrian Games (WEG), Europos čempionatas (J, YR, Am, P, S), Olimpinės žaidynės</t>
  </si>
  <si>
    <t xml:space="preserve">Nacionaliniai čempionatai </t>
  </si>
  <si>
    <t>Skiriami taškai už dalyvavimą, jei nepasiekta reitinginė vieta</t>
  </si>
  <si>
    <t>Taškai</t>
  </si>
  <si>
    <t>World Equestrian Games (WEG), FEI World Cup Final, Europos čempionatas (J, YR, Am, P, S), Olimpinės žaidynės</t>
  </si>
  <si>
    <t>FEI Children International Classics Final</t>
  </si>
  <si>
    <t>Pastabos:</t>
  </si>
  <si>
    <t>Skaičiuojamas tik vieno žirgo reitingas.</t>
  </si>
  <si>
    <t>Reitingai suaugusiųjų grupėje skaičiuojami tik nuo 130 cm aukščio pagrindiniame konkūre.</t>
  </si>
  <si>
    <t>Nuo einamųjų metų sausio 1 d. reitinginiai taškai skaičiuojami nuo 0.</t>
  </si>
  <si>
    <t>Nuo 140-160 cm</t>
  </si>
  <si>
    <t>Nr.</t>
  </si>
  <si>
    <t>Nacionalinių varžybų pavadinimas, vykdymo vieta</t>
  </si>
  <si>
    <t>Audruvio sezono atidarymas 2021</t>
  </si>
  <si>
    <t>Lietuvos konkūrų uždarų patalpų čempionatas</t>
  </si>
  <si>
    <t>Lietuvos taurė 2021</t>
  </si>
  <si>
    <t>Jaunųjų raitelių šventė 2021</t>
  </si>
  <si>
    <t>Navickų taurė 2021</t>
  </si>
  <si>
    <t>Audruvis Champions Tour 2021 - Ist stage</t>
  </si>
  <si>
    <t>Audruvis Champions Tour 2021 - IInd stage</t>
  </si>
  <si>
    <t>LW group taures varžybos 2021</t>
  </si>
  <si>
    <t>Federacijos taurė 2021</t>
  </si>
  <si>
    <t>Audruvis Champions Tour 2021 - FINAL</t>
  </si>
  <si>
    <t>AUDRUVIS INDOOR SEASON OPENING 2021</t>
  </si>
  <si>
    <t>2021.03.26/28</t>
  </si>
  <si>
    <t>2021.05.20/23</t>
  </si>
  <si>
    <t>2021.06.11</t>
  </si>
  <si>
    <t>2021.06.19/20</t>
  </si>
  <si>
    <t>Lietuvos kaimo ir sporto NEMUNAS</t>
  </si>
  <si>
    <t>2021.06.26</t>
  </si>
  <si>
    <t>2021.06.12</t>
  </si>
  <si>
    <t>2021.04.09/11</t>
  </si>
  <si>
    <t>2021.04.29-05.02</t>
  </si>
  <si>
    <t>2021.05.27/30</t>
  </si>
  <si>
    <t>Horsemarket Challenge</t>
  </si>
  <si>
    <t>Horsemarket Equestrian Spring Tour 2021</t>
  </si>
  <si>
    <t>Horsemarket Equestrian Spring Tour 2022</t>
  </si>
  <si>
    <t>2021.07.02/04</t>
  </si>
  <si>
    <t>Atviras Lietuvos konkūrų čempionatas 2021</t>
  </si>
  <si>
    <t>2021.07.08/11</t>
  </si>
  <si>
    <t>Data</t>
  </si>
  <si>
    <t>2021.07.23/25</t>
  </si>
  <si>
    <t>2021.08.13/14</t>
  </si>
  <si>
    <t>Audruvis summer ending 2021</t>
  </si>
  <si>
    <t>2021.09.04</t>
  </si>
  <si>
    <t>Mykolo Oginskio taurė 2021</t>
  </si>
  <si>
    <t>2021.09.05</t>
  </si>
  <si>
    <t>2021.09.10/12</t>
  </si>
  <si>
    <t>2021.09.17/19</t>
  </si>
  <si>
    <t>2021.10.09/10</t>
  </si>
  <si>
    <t>Audruvis Champions Tour 2021 -  I etapas</t>
  </si>
  <si>
    <t>2021.10.30/31</t>
  </si>
  <si>
    <t>Audruvis Champions Tour 2021 -  II etapas</t>
  </si>
  <si>
    <t>2021.11.19/21</t>
  </si>
  <si>
    <t xml:space="preserve">Lietuvos jaunimo (iki 21m.) grupės konkūrų reitingų lentelė 2021 m. </t>
  </si>
  <si>
    <t>Vieta</t>
  </si>
  <si>
    <t>Vardas, pavardė</t>
  </si>
  <si>
    <t>SUMA</t>
  </si>
  <si>
    <t>Lietuvos jaunių konkūrų reitingų lentelė 2021 m.</t>
  </si>
  <si>
    <t xml:space="preserve">Lietuvos jaunučių konkūrų reitingų lentelė 2021m. </t>
  </si>
  <si>
    <t>Suma</t>
  </si>
  <si>
    <t>Lietuvos konkūrų jojimo 2021m. Vaikų (iki 14 m.) užskaitos reitingai</t>
  </si>
  <si>
    <t>Marija Švabaitė</t>
  </si>
  <si>
    <t>Ieva Rudytė</t>
  </si>
  <si>
    <t>Augustė Kuzmickaitė</t>
  </si>
  <si>
    <t>Meda Kairiukštytė</t>
  </si>
  <si>
    <t>Dominykas Grumskas</t>
  </si>
  <si>
    <t>Ieva Navickaitė</t>
  </si>
  <si>
    <t>Urtė Šapkauskaitė</t>
  </si>
  <si>
    <t>Serafim Kuprijanov</t>
  </si>
  <si>
    <t>Barbora Zamalytė</t>
  </si>
  <si>
    <t>Eliza Šiškutė</t>
  </si>
  <si>
    <t>Anna Narkevičiūtė</t>
  </si>
  <si>
    <t>Faustina Padolskytė</t>
  </si>
  <si>
    <t>Ieva Gaidelytė</t>
  </si>
  <si>
    <t>Vilius Kascenas</t>
  </si>
  <si>
    <t>Lėja Nakvosaitė</t>
  </si>
  <si>
    <t>Saulė Jaudženytė</t>
  </si>
  <si>
    <t>Laura Burgytė</t>
  </si>
  <si>
    <t>Emilija Zaikauskaitė</t>
  </si>
  <si>
    <t>Adrija Braknytė</t>
  </si>
  <si>
    <t>Anetė Žukauskaitė</t>
  </si>
  <si>
    <t>Patricija Skabeikytė</t>
  </si>
  <si>
    <t>Austė Latkauskaitė</t>
  </si>
  <si>
    <t>Andrė Ibėnė</t>
  </si>
  <si>
    <t>Rusnė Urbutytė</t>
  </si>
  <si>
    <t>Viktorija Michalovska</t>
  </si>
  <si>
    <t>Jūra Albrechtaitė</t>
  </si>
  <si>
    <t>Amelija Dapkutė</t>
  </si>
  <si>
    <t>Guoda Zagorskaitė</t>
  </si>
  <si>
    <t>Emilija Oleary</t>
  </si>
  <si>
    <t>Žemyna Ažubalytė</t>
  </si>
  <si>
    <t>Saulė Jočytė</t>
  </si>
  <si>
    <t>Ela Daunoraitė</t>
  </si>
  <si>
    <t xml:space="preserve">Lietuvos raitelių jojančių poni klasės žirgais, konkūrų reitingų lentelė 2021 m.            </t>
  </si>
  <si>
    <t>Lietuvos konkūrų jojimo 2021m. Mėgėjų I gr. užskaitos reitingai</t>
  </si>
  <si>
    <t>Juratė Civinskaitė</t>
  </si>
  <si>
    <t>Robertas Apet</t>
  </si>
  <si>
    <t>Kornelija Kliučinskaitė</t>
  </si>
  <si>
    <t>Brigita Samoškienė</t>
  </si>
  <si>
    <t>Gabija Venciūtė</t>
  </si>
  <si>
    <t>Andrius Skakauskas</t>
  </si>
  <si>
    <t>Beatrice Eigminaite</t>
  </si>
  <si>
    <t>Ovidijus Šova</t>
  </si>
  <si>
    <t>Ieva Grosmanaitė</t>
  </si>
  <si>
    <t>Silvija Linkevičiutė</t>
  </si>
  <si>
    <t>Dalia Latkauskiene</t>
  </si>
  <si>
    <t>Andrius Rimgaila</t>
  </si>
  <si>
    <t>Austėja Levickytė</t>
  </si>
  <si>
    <t>Gabija Grigaliūnienė</t>
  </si>
  <si>
    <t>Darius Petkevičius</t>
  </si>
  <si>
    <t>Vitalija Baltrušaitytė</t>
  </si>
  <si>
    <t>Dalia Žičkienė</t>
  </si>
  <si>
    <t>Vitalija Baltramiejunaite</t>
  </si>
  <si>
    <t>Jurgis Zagorskas</t>
  </si>
  <si>
    <t>Milda Galdikaitė</t>
  </si>
  <si>
    <t>Sandra Rulyte</t>
  </si>
  <si>
    <t>Jūratė Masiulytė - Katakinė</t>
  </si>
  <si>
    <t>Viktorija Volungenaite</t>
  </si>
  <si>
    <t>Evita Černiauskaitė</t>
  </si>
  <si>
    <t>Laura Venskutonyte</t>
  </si>
  <si>
    <t>Benas Urbonas</t>
  </si>
  <si>
    <t>Monika Vasiliauskaitė</t>
  </si>
  <si>
    <t>Saulius Petravičius</t>
  </si>
  <si>
    <t>Andrius Kaniava</t>
  </si>
  <si>
    <t>Laima König</t>
  </si>
  <si>
    <t>Šarūnas Dužinas</t>
  </si>
  <si>
    <t>Lietuvos konkūrų jojimo 2021m. Mėgėjų II gr. užskaitos reitingai</t>
  </si>
  <si>
    <t>Ieva Brazytė</t>
  </si>
  <si>
    <t>Eglė Pakalniškytė</t>
  </si>
  <si>
    <t>Elena Makarauskiene</t>
  </si>
  <si>
    <t>Daiva Bučienė</t>
  </si>
  <si>
    <t>Gerda Varnagiryte</t>
  </si>
  <si>
    <t>Austeja Zadeikyte</t>
  </si>
  <si>
    <t>Marius Stogevičius</t>
  </si>
  <si>
    <t>Karolina Šalčiūtė</t>
  </si>
  <si>
    <t>Erlandas Mikėnas</t>
  </si>
  <si>
    <t>Gabrielė Stasiulionytė</t>
  </si>
  <si>
    <t>Raimundas Augustis</t>
  </si>
  <si>
    <t>Sofija Jurgulyte</t>
  </si>
  <si>
    <t>Lietuvos konkūrų jojimo 2021m. Mėgėjų III gr. užskaitos reitingai</t>
  </si>
  <si>
    <t>"GeloRevoice" taurės varžybos, Civinskai.</t>
  </si>
  <si>
    <t>2021.04.24</t>
  </si>
  <si>
    <t>Trojus Rimkevičius</t>
  </si>
  <si>
    <t>Smiltė Bendziūtė</t>
  </si>
  <si>
    <t>Stasys Jasas J.</t>
  </si>
  <si>
    <t>Barbora Vėtra Petraitytė</t>
  </si>
  <si>
    <t>Augustė Railaitė</t>
  </si>
  <si>
    <t>Augustė Baužaitė</t>
  </si>
  <si>
    <t>Tija Vaškūnaitė</t>
  </si>
  <si>
    <t>Tija Valaityte</t>
  </si>
  <si>
    <t>Beatrice Endzinaite</t>
  </si>
  <si>
    <t>Gerda Budrytė</t>
  </si>
  <si>
    <t>Paulius Uogela</t>
  </si>
  <si>
    <t>Viltė Kazlauskaitė</t>
  </si>
  <si>
    <t>Agota Virsilaite</t>
  </si>
  <si>
    <t>Marija Kuprijanova</t>
  </si>
  <si>
    <t>Viltė Pikūnaitė</t>
  </si>
  <si>
    <t>Doma Zigmantavičiūtė</t>
  </si>
  <si>
    <t>Ignas Makarauskas</t>
  </si>
  <si>
    <t>Rugilė Petravičiūtė</t>
  </si>
  <si>
    <t>Zigmantas Jasas</t>
  </si>
  <si>
    <t>Saulė Liuimaitė</t>
  </si>
  <si>
    <t>Monika Paulauskaite</t>
  </si>
  <si>
    <t>Evita Vismerytė</t>
  </si>
  <si>
    <t>Miglė Golubkevičiūtė</t>
  </si>
  <si>
    <t>Emilija Amontaitė</t>
  </si>
  <si>
    <t>Jūnė Šapkauskaitė</t>
  </si>
  <si>
    <t>Vaiva Liutkevciute</t>
  </si>
  <si>
    <t>Goda Balaišyte</t>
  </si>
  <si>
    <t>Emilija Šnirpunaite</t>
  </si>
  <si>
    <t>Daniela Kuprytė</t>
  </si>
  <si>
    <t>Kęstas Krasnickas</t>
  </si>
  <si>
    <t>Monika Vinskutė</t>
  </si>
  <si>
    <t>Martyna Želnytė - Kairienė</t>
  </si>
  <si>
    <t>Julija Valackaitė</t>
  </si>
  <si>
    <t>Aurimas Tankūnas</t>
  </si>
  <si>
    <t>Kristina Paulauskiene</t>
  </si>
  <si>
    <t>Rita Matūzienė</t>
  </si>
  <si>
    <t>Ingrida Kisielienė</t>
  </si>
  <si>
    <t>Egle Dziaukstaite-Tamosaite</t>
  </si>
  <si>
    <t>Marius Urbanavicius</t>
  </si>
  <si>
    <t>Kotryna Žičkutė</t>
  </si>
  <si>
    <t>Darius Kairys</t>
  </si>
  <si>
    <t>Ona Jasinskaitė</t>
  </si>
  <si>
    <t>Elena Railaitė</t>
  </si>
  <si>
    <t>Robertas Joniskis</t>
  </si>
  <si>
    <t>Sofija Jurgulytė</t>
  </si>
  <si>
    <t>Rytė Rečiūnaitė</t>
  </si>
  <si>
    <t>Saule Liuimaite</t>
  </si>
  <si>
    <t>Lėja Montvydaitė</t>
  </si>
  <si>
    <t>Laura Burgyte</t>
  </si>
  <si>
    <t>Dija Maižeikytė</t>
  </si>
  <si>
    <t>Ainė Galdikaitė</t>
  </si>
  <si>
    <t>Nojus Chmieliauskas</t>
  </si>
  <si>
    <t>Liepa Šiūrnaitė</t>
  </si>
  <si>
    <t>Rusnė Žukauskaitė</t>
  </si>
  <si>
    <t>Rustė Mazrimaitė</t>
  </si>
  <si>
    <t>Gustė Kisieliūtė</t>
  </si>
  <si>
    <t>Auguste Kuzmickaite</t>
  </si>
  <si>
    <t>Ugne Laurincikaite</t>
  </si>
  <si>
    <t>Ula Mažeikyte</t>
  </si>
  <si>
    <t>Marta Talackaite</t>
  </si>
  <si>
    <t>Austeja Banyte</t>
  </si>
  <si>
    <t>Anna Narkeviciute</t>
  </si>
  <si>
    <t>Modestas Rumševicius</t>
  </si>
  <si>
    <t>Goda Augustinaviciute</t>
  </si>
  <si>
    <t>Saule Jaudženyte</t>
  </si>
  <si>
    <t>Ieva Navickaite</t>
  </si>
  <si>
    <t>Liepa Ališauskaitė</t>
  </si>
  <si>
    <t>Emanuela Pitrėnaitė</t>
  </si>
  <si>
    <t>Barbora Štrimaitytė</t>
  </si>
  <si>
    <t>Šarūnas Karaliūnas</t>
  </si>
  <si>
    <t xml:space="preserve">Barbora Zamalytė </t>
  </si>
  <si>
    <t>Tarptautinių varžybų pavadinimas, vykdymo vieta</t>
  </si>
  <si>
    <t>Matas Petraitis</t>
  </si>
  <si>
    <t>Kristupas Petraitis</t>
  </si>
  <si>
    <t>Irmantas Grikienis</t>
  </si>
  <si>
    <t>Danielius Gutkauskas</t>
  </si>
  <si>
    <t>Aivaras Bataitis</t>
  </si>
  <si>
    <t>Kostas Gaigalas</t>
  </si>
  <si>
    <t>Aleksas Seilius</t>
  </si>
  <si>
    <t>Simas Seilius</t>
  </si>
  <si>
    <t>Zigmantas Šarka</t>
  </si>
  <si>
    <t>Elena Railienė</t>
  </si>
  <si>
    <t>Gintare Malinauskaite</t>
  </si>
  <si>
    <t>Nerijus Šipaila</t>
  </si>
  <si>
    <t>Lietuvos konkūrų jojimo 2021m. Suaugusių užskaitos reitingai</t>
  </si>
  <si>
    <t>Andrius Petrovas</t>
  </si>
  <si>
    <t>Laura Martinavičiūtė</t>
  </si>
  <si>
    <t>Rimantas Babrauskas</t>
  </si>
  <si>
    <t>Vincas Civinskas</t>
  </si>
  <si>
    <t>Aleksiej Timofejev</t>
  </si>
  <si>
    <t>Stasys Jasas</t>
  </si>
  <si>
    <t xml:space="preserve"> </t>
  </si>
  <si>
    <t>Justas Gabalis</t>
  </si>
  <si>
    <t>Aiste Nefedjevaite</t>
  </si>
  <si>
    <t>Giedrius Butkus</t>
  </si>
  <si>
    <t>Rugile Petraviciute</t>
  </si>
  <si>
    <t>Valdas Urbonas</t>
  </si>
  <si>
    <t>Juste Pociunaite</t>
  </si>
  <si>
    <t>Elena Makarauskene</t>
  </si>
  <si>
    <t>Pranas Milkintas</t>
  </si>
  <si>
    <t>Gaudene Janaviciute</t>
  </si>
  <si>
    <t>Valdemaras Žukauskas</t>
  </si>
  <si>
    <t>Rytis Vaikšnys</t>
  </si>
  <si>
    <t>Gabriele Baužaite</t>
  </si>
  <si>
    <t>Darius Akelis</t>
  </si>
  <si>
    <t>Ovidijus Janavicius</t>
  </si>
  <si>
    <t>Auguste Railaite</t>
  </si>
  <si>
    <t>Lukas Civinskas</t>
  </si>
  <si>
    <t>Laimondas Skerys</t>
  </si>
  <si>
    <t>Karolina Vasiliauskaite</t>
  </si>
  <si>
    <t>Aistis Vitkauskas</t>
  </si>
  <si>
    <t>Zydrunas Garbenis</t>
  </si>
  <si>
    <t>Kamile Berzonskyte</t>
  </si>
  <si>
    <t>Sigita Griceviciute</t>
  </si>
  <si>
    <t>Aine Marija Galdikaite</t>
  </si>
  <si>
    <t>Miglė Šačkutė</t>
  </si>
  <si>
    <t>Laura Fiodorovaitė</t>
  </si>
  <si>
    <t>Mileta Butkute</t>
  </si>
  <si>
    <t>Urte Filinskaja</t>
  </si>
  <si>
    <t>Evelina Brazdeikyte</t>
  </si>
  <si>
    <t>Šarunas Karaliunas</t>
  </si>
  <si>
    <t>Beatričė Enzinaitė</t>
  </si>
  <si>
    <t>Agota Viršilaitė</t>
  </si>
  <si>
    <t>MICHALOWICE - CSIYH1*/CSI2* (POL)</t>
  </si>
  <si>
    <t>2021.10.21/24</t>
  </si>
  <si>
    <t>2021.10.28/31</t>
  </si>
  <si>
    <t>WARSAW - CSI2*-W (POL)</t>
  </si>
  <si>
    <t>2021.11.11/14</t>
  </si>
  <si>
    <t>EKWADOR WINTER INTERNATIONAL COMPETITION 2021</t>
  </si>
  <si>
    <t>2021.11.24/28</t>
  </si>
  <si>
    <t>WROCLAW - CSI2* (POL)</t>
  </si>
  <si>
    <t>2021.10.07/10</t>
  </si>
  <si>
    <t>OLIVA - CSI3* (ESP)</t>
  </si>
  <si>
    <t>OLIVA - CSI2* (ESP)</t>
  </si>
  <si>
    <t>2021.10.05/10</t>
  </si>
  <si>
    <t>2021.09.28/03</t>
  </si>
  <si>
    <t>2021.10.01/03</t>
  </si>
  <si>
    <t>BONHEIDEN - CSI2*/CSIYH1* (BEL)</t>
  </si>
  <si>
    <t>TALLINN - CSI1*/CSI2* (EST)</t>
  </si>
  <si>
    <t>2021.09.16/19</t>
  </si>
  <si>
    <t>2021.09.09/12</t>
  </si>
  <si>
    <t>OPGLABBEK - CSI2*/CSIYH1* (BEL)</t>
  </si>
  <si>
    <t>2021.09.06/08</t>
  </si>
  <si>
    <t>CHEPSTOW - CSI2* (GBR)</t>
  </si>
  <si>
    <t>2021.08.27/30</t>
  </si>
  <si>
    <t>Donatas Jančiauskas</t>
  </si>
  <si>
    <t>RIGA - CSI2*/CSIYH1* (LAT)</t>
  </si>
  <si>
    <t>2021.08.19/22</t>
  </si>
  <si>
    <t>2021.06.17/20</t>
  </si>
  <si>
    <t>MOSCOW - CSI2*/CSI1*/CSIYH1* (RUS)</t>
  </si>
  <si>
    <t>Benas Gutkauskas</t>
  </si>
  <si>
    <t>UGGERHALNE - CSIO3* (DEN)</t>
  </si>
  <si>
    <t>2021.06.10/13</t>
  </si>
  <si>
    <t>PARNU - CSI2* (EST)</t>
  </si>
  <si>
    <t>OPGLABBEK - CSI1* (BEL)</t>
  </si>
  <si>
    <t>2021.06.09/12</t>
  </si>
  <si>
    <t>Juan Pablo Garriz</t>
  </si>
  <si>
    <t>2021.06.03/06</t>
  </si>
  <si>
    <t>POZNAN - CSI4*/CSI1* (POL)</t>
  </si>
  <si>
    <t>PRAHA - CSIO3* (CZE)</t>
  </si>
  <si>
    <t>2021.05.05/09</t>
  </si>
  <si>
    <t>PRAHA - CSI2* (CZE)</t>
  </si>
  <si>
    <t>2021.04.28/02</t>
  </si>
  <si>
    <t>ZIELONA GORA - CSI2*/CSICh-B</t>
  </si>
  <si>
    <t>2021.04.15/18</t>
  </si>
  <si>
    <t>OLIVA - CSIYH1* (ESP)</t>
  </si>
  <si>
    <t>2021.02.23/28</t>
  </si>
  <si>
    <t>Ausra Clarke</t>
  </si>
  <si>
    <t>2021.02.16/21</t>
  </si>
  <si>
    <t>POZNAN - CSI2* (POL)</t>
  </si>
  <si>
    <t>2021.02.18/21</t>
  </si>
  <si>
    <t>Justina Rėčiūnaitė</t>
  </si>
  <si>
    <t>2021.02.11/14</t>
  </si>
  <si>
    <t>SALZBURG - CSI4* (AUT)</t>
  </si>
  <si>
    <t>2021.01.21/24</t>
  </si>
  <si>
    <t>2021.02.09/14</t>
  </si>
  <si>
    <t>2021.01.13/17</t>
  </si>
  <si>
    <t>SALZBURG - CSI2* (AUT)</t>
  </si>
  <si>
    <t>OPGLABBEK - CSI2* (BEL)</t>
  </si>
  <si>
    <t>2021.01.12/16</t>
  </si>
  <si>
    <t>2021.08.04/08</t>
  </si>
  <si>
    <t>IVANOVSKOE - CSI1* (RUS)</t>
  </si>
  <si>
    <t>2021.07.22/25</t>
  </si>
  <si>
    <t>WARSAW - CSIO4*/CSIYH1* (POL)</t>
  </si>
  <si>
    <t>KRONENBERG - CSI2* (NED)</t>
  </si>
  <si>
    <t>2021.07.21/24</t>
  </si>
  <si>
    <t>MOSCOW - CSI1*-W (RUS)</t>
  </si>
  <si>
    <t>2021.07.15/18</t>
  </si>
  <si>
    <t>2021.07.14/18</t>
  </si>
  <si>
    <t>BISKUPIEC - CSI2* (POL)</t>
  </si>
  <si>
    <t>BUDAPEST - CSIO3* (HUN)</t>
  </si>
  <si>
    <t>ST TROPEZ - CSI2* (FRA)</t>
  </si>
  <si>
    <t>2021.07.07/11</t>
  </si>
  <si>
    <t>SZILVASVARAD - CSI3* (HUN)</t>
  </si>
  <si>
    <t>2021.07.01/04</t>
  </si>
  <si>
    <t>KOMANDINIS</t>
  </si>
  <si>
    <t>Dąbrówka Mała</t>
  </si>
  <si>
    <t>2021.02.27/28</t>
  </si>
  <si>
    <t>2021.05.19/23</t>
  </si>
  <si>
    <t>2021.05.26/30</t>
  </si>
  <si>
    <t>2021.05.12/16</t>
  </si>
  <si>
    <t>*4</t>
  </si>
  <si>
    <t>*3,5</t>
  </si>
  <si>
    <t>UŽDARŲ PATALPŲ ČEMPIONATAS 2021</t>
  </si>
  <si>
    <t>*5</t>
  </si>
  <si>
    <t>*4,5</t>
  </si>
  <si>
    <t>*5,5</t>
  </si>
  <si>
    <t>135 - 140</t>
  </si>
  <si>
    <t>*6,5</t>
  </si>
  <si>
    <t>150 (CSI4*)</t>
  </si>
  <si>
    <t>*6</t>
  </si>
  <si>
    <t>145 (CSI4*)</t>
  </si>
  <si>
    <t>155-160 (CSI4*)</t>
  </si>
  <si>
    <t>140 (CSI4*)</t>
  </si>
  <si>
    <t>135 (CSIYH1*)</t>
  </si>
  <si>
    <t>+</t>
  </si>
  <si>
    <t>Migle Golubkeviciute</t>
  </si>
  <si>
    <t>Evita Vismeryte</t>
  </si>
  <si>
    <t>Ryte Reciunaite</t>
  </si>
  <si>
    <t>Justina Reciunaite</t>
  </si>
  <si>
    <t>140 - 160</t>
  </si>
  <si>
    <t>160 (CSI4*)</t>
  </si>
  <si>
    <t>135 (CSI1*)</t>
  </si>
  <si>
    <t>130 (CSI1*)</t>
  </si>
  <si>
    <t>Nerijus Sipaila</t>
  </si>
  <si>
    <t>150 - 160</t>
  </si>
  <si>
    <t>130 - 135</t>
  </si>
  <si>
    <t>Zigmantas Sarka</t>
  </si>
  <si>
    <t>Valdemaras Zukauskas</t>
  </si>
  <si>
    <t>140-160</t>
  </si>
  <si>
    <t>Aiste Nefjedevaite</t>
  </si>
  <si>
    <t>TALLINN - CSI1*/CSI2*</t>
  </si>
  <si>
    <t>OLIVA - CSI2*</t>
  </si>
  <si>
    <t>OLIVA - CSI3*</t>
  </si>
  <si>
    <t>EKWADOR WINTER INTERNATIONAL COMPETITION 2021 - CSI2*</t>
  </si>
  <si>
    <t>Monika Paulauskaitė</t>
  </si>
  <si>
    <t>130-135</t>
  </si>
  <si>
    <t>MICHALOWICE - CSIYH1*/CSI2* (10-28)</t>
  </si>
  <si>
    <t>MICHALOWICE - CSIYH1*/CSI2* (10-21)</t>
  </si>
  <si>
    <t>Karolina Vasiliauskaitė</t>
  </si>
  <si>
    <t xml:space="preserve">TARPTAUTINES  </t>
  </si>
  <si>
    <t>Laura Martinaviciute</t>
  </si>
  <si>
    <t>*2,5</t>
  </si>
  <si>
    <t>INDOOR II STAGE</t>
  </si>
  <si>
    <t>INDOOR I STAGE</t>
  </si>
  <si>
    <t>Aleksejus Timofejevas</t>
  </si>
  <si>
    <t>4 savaite</t>
  </si>
  <si>
    <t>Vincas Civinskas Jr</t>
  </si>
  <si>
    <t>Elena Railiene</t>
  </si>
  <si>
    <t>Elena Railaite</t>
  </si>
  <si>
    <t>3 savaite</t>
  </si>
  <si>
    <t>2 savaitė</t>
  </si>
  <si>
    <t>Migle Golubkeviciut</t>
  </si>
  <si>
    <t>1 savaitė</t>
  </si>
  <si>
    <t>HORSEMARKET</t>
  </si>
  <si>
    <t>Laimondas Skėrys</t>
  </si>
  <si>
    <t>HORSEMARKET CHALLENGE</t>
  </si>
  <si>
    <t>CIVINSKAI NEMUNAS</t>
  </si>
  <si>
    <t>nesiskaiciuoja</t>
  </si>
  <si>
    <t>CIVINSKAI GELO REVOICE</t>
  </si>
  <si>
    <t>AUDRUVIS INDOOR</t>
  </si>
  <si>
    <t>AUDRUVIS FINALS</t>
  </si>
  <si>
    <t>*3</t>
  </si>
  <si>
    <t>GALUTINIAI</t>
  </si>
  <si>
    <t>FEDERACIJOS TAURĖ</t>
  </si>
  <si>
    <t>Laima Gutkauskiene</t>
  </si>
  <si>
    <t>OGINSKIS</t>
  </si>
  <si>
    <t>LW GROUP</t>
  </si>
  <si>
    <t>Erlandas Mikenas</t>
  </si>
  <si>
    <t>SUMMER ENDING</t>
  </si>
  <si>
    <t>Kamile Beržonskyte</t>
  </si>
  <si>
    <t>Doma Zigmantaviciute</t>
  </si>
  <si>
    <t>AUDRUVIS II STAGE</t>
  </si>
  <si>
    <t>AUDRUVIS I STAGE</t>
  </si>
  <si>
    <t>nesiskaiciuoa</t>
  </si>
  <si>
    <t>Aleksei Timofejev</t>
  </si>
  <si>
    <t>135-140</t>
  </si>
  <si>
    <t>Gintarė Malinauskaitė</t>
  </si>
  <si>
    <t>Audruvio sezono atidarymas</t>
  </si>
  <si>
    <t>Vasaros cempas</t>
  </si>
  <si>
    <t>2021.10.12/17</t>
  </si>
  <si>
    <t>2021.11.23/28</t>
  </si>
  <si>
    <t>2021.11.30/12.05</t>
  </si>
  <si>
    <t>2021.12.07/12</t>
  </si>
  <si>
    <t>KEYSOE - CSI2* (GBR)</t>
  </si>
  <si>
    <t>Donatas Janciauskas</t>
  </si>
  <si>
    <t>2021.12.13/16</t>
  </si>
  <si>
    <t>2021.12.16/19</t>
  </si>
  <si>
    <t>CSI3*</t>
  </si>
  <si>
    <t>CSI1*</t>
  </si>
  <si>
    <t>POZNAN - CSI3*/CSI1* (POL)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</si>
</sst>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ahoma"/>
      <family val="2"/>
      <charset val="186"/>
    </font>
    <font>
      <b/>
      <sz val="8"/>
      <name val="Tahoma"/>
      <family val="2"/>
      <charset val="186"/>
    </font>
    <font>
      <sz val="8"/>
      <name val="Tahoma"/>
      <family val="2"/>
      <charset val="186"/>
    </font>
    <font>
      <b/>
      <sz val="10"/>
      <name val="Tahoma"/>
      <family val="2"/>
      <charset val="186"/>
    </font>
    <font>
      <sz val="12"/>
      <name val="Tahoma"/>
      <family val="2"/>
      <charset val="186"/>
    </font>
    <font>
      <b/>
      <sz val="8"/>
      <name val="Tahoma"/>
      <family val="2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sz val="10"/>
      <name val="Tahoma"/>
      <family val="2"/>
      <charset val="186"/>
    </font>
    <font>
      <sz val="10"/>
      <color theme="1"/>
      <name val="Tahoma"/>
      <family val="2"/>
      <charset val="186"/>
    </font>
    <font>
      <sz val="11"/>
      <color theme="9" tint="-0.499984740745262"/>
      <name val="Calibri"/>
      <family val="2"/>
      <charset val="186"/>
      <scheme val="minor"/>
    </font>
    <font>
      <b/>
      <sz val="8"/>
      <color theme="9" tint="-0.499984740745262"/>
      <name val="Tahoma"/>
      <family val="2"/>
      <charset val="186"/>
    </font>
    <font>
      <b/>
      <i/>
      <sz val="11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9"/>
      <color theme="9" tint="-0.499984740745262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8"/>
      <color theme="1"/>
      <name val="Tahoma"/>
      <family val="2"/>
      <charset val="186"/>
    </font>
    <font>
      <b/>
      <sz val="8"/>
      <color theme="4" tint="-0.249977111117893"/>
      <name val="Tahoma"/>
      <family val="2"/>
      <charset val="186"/>
    </font>
    <font>
      <sz val="11"/>
      <color theme="4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7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4" fillId="2" borderId="12" xfId="1" applyFont="1" applyFill="1" applyBorder="1" applyAlignment="1">
      <alignment horizontal="center" wrapText="1"/>
    </xf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4" fillId="0" borderId="6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/>
    <xf numFmtId="0" fontId="2" fillId="0" borderId="0" xfId="0" applyFont="1"/>
    <xf numFmtId="0" fontId="6" fillId="0" borderId="0" xfId="0" applyFont="1"/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/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wrapText="1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1" xfId="0" applyFont="1" applyFill="1" applyBorder="1" applyAlignment="1">
      <alignment horizontal="center"/>
    </xf>
    <xf numFmtId="0" fontId="4" fillId="0" borderId="25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33" xfId="0" applyFont="1" applyBorder="1" applyAlignment="1">
      <alignment horizontal="center"/>
    </xf>
    <xf numFmtId="0" fontId="4" fillId="0" borderId="34" xfId="0" applyFont="1" applyBorder="1"/>
    <xf numFmtId="0" fontId="4" fillId="0" borderId="35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36" xfId="0" applyBorder="1" applyAlignment="1"/>
    <xf numFmtId="0" fontId="0" fillId="4" borderId="43" xfId="0" applyFill="1" applyBorder="1" applyAlignment="1">
      <alignment horizontal="center" vertical="center"/>
    </xf>
    <xf numFmtId="0" fontId="3" fillId="0" borderId="43" xfId="3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0" fontId="13" fillId="0" borderId="44" xfId="2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0" fillId="0" borderId="28" xfId="0" applyBorder="1"/>
    <xf numFmtId="0" fontId="12" fillId="0" borderId="3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0" borderId="54" xfId="2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0" fillId="0" borderId="2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15" fillId="0" borderId="43" xfId="3" applyFont="1" applyBorder="1" applyAlignment="1">
      <alignment horizontal="center" vertical="center" wrapText="1"/>
    </xf>
    <xf numFmtId="0" fontId="15" fillId="0" borderId="15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6" fillId="0" borderId="44" xfId="2" applyFont="1" applyBorder="1" applyAlignment="1">
      <alignment horizontal="center" vertical="center"/>
    </xf>
    <xf numFmtId="0" fontId="15" fillId="0" borderId="45" xfId="2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28" xfId="0" applyFill="1" applyBorder="1"/>
    <xf numFmtId="0" fontId="12" fillId="0" borderId="28" xfId="0" applyFont="1" applyBorder="1"/>
    <xf numFmtId="0" fontId="0" fillId="0" borderId="28" xfId="0" applyBorder="1" applyAlignment="1">
      <alignment horizontal="left"/>
    </xf>
    <xf numFmtId="0" fontId="12" fillId="4" borderId="27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/>
    </xf>
    <xf numFmtId="0" fontId="0" fillId="0" borderId="28" xfId="0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2" fillId="0" borderId="27" xfId="0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28" xfId="0" applyFill="1" applyBorder="1" applyAlignment="1">
      <alignment horizontal="left" vertical="center"/>
    </xf>
    <xf numFmtId="0" fontId="0" fillId="0" borderId="31" xfId="0" applyFill="1" applyBorder="1"/>
    <xf numFmtId="0" fontId="12" fillId="0" borderId="31" xfId="0" applyFont="1" applyBorder="1" applyAlignment="1">
      <alignment horizontal="center"/>
    </xf>
    <xf numFmtId="0" fontId="0" fillId="0" borderId="39" xfId="0" applyBorder="1"/>
    <xf numFmtId="0" fontId="16" fillId="0" borderId="2" xfId="3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56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4" borderId="28" xfId="0" applyFill="1" applyBorder="1" applyAlignment="1"/>
    <xf numFmtId="0" fontId="0" fillId="4" borderId="29" xfId="0" applyFill="1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Fill="1" applyBorder="1" applyAlignment="1"/>
    <xf numFmtId="0" fontId="0" fillId="0" borderId="56" xfId="0" applyFill="1" applyBorder="1" applyAlignment="1"/>
    <xf numFmtId="0" fontId="0" fillId="0" borderId="28" xfId="0" applyFill="1" applyBorder="1" applyAlignment="1"/>
    <xf numFmtId="0" fontId="0" fillId="0" borderId="29" xfId="0" applyFill="1" applyBorder="1" applyAlignment="1"/>
    <xf numFmtId="0" fontId="0" fillId="0" borderId="34" xfId="0" applyFill="1" applyBorder="1" applyAlignment="1"/>
    <xf numFmtId="0" fontId="0" fillId="0" borderId="35" xfId="0" applyFill="1" applyBorder="1" applyAlignment="1"/>
    <xf numFmtId="0" fontId="3" fillId="0" borderId="43" xfId="0" applyFont="1" applyBorder="1" applyAlignment="1">
      <alignment horizontal="center" vertical="center"/>
    </xf>
    <xf numFmtId="0" fontId="13" fillId="0" borderId="44" xfId="2" applyFont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4" fillId="0" borderId="0" xfId="0" applyFont="1"/>
    <xf numFmtId="0" fontId="0" fillId="0" borderId="31" xfId="0" applyBorder="1"/>
    <xf numFmtId="0" fontId="12" fillId="0" borderId="31" xfId="0" applyFont="1" applyBorder="1" applyAlignment="1">
      <alignment horizontal="center" vertical="center"/>
    </xf>
    <xf numFmtId="0" fontId="0" fillId="0" borderId="36" xfId="0" applyBorder="1"/>
    <xf numFmtId="0" fontId="19" fillId="0" borderId="54" xfId="2" applyFont="1" applyBorder="1" applyAlignment="1">
      <alignment horizontal="center" vertical="center"/>
    </xf>
    <xf numFmtId="0" fontId="20" fillId="0" borderId="2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8" fillId="0" borderId="15" xfId="2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/>
    <xf numFmtId="0" fontId="12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54" xfId="2" applyFont="1" applyBorder="1" applyAlignment="1">
      <alignment horizontal="center"/>
    </xf>
    <xf numFmtId="0" fontId="12" fillId="4" borderId="62" xfId="0" applyFont="1" applyFill="1" applyBorder="1" applyAlignment="1">
      <alignment horizontal="center" vertical="center"/>
    </xf>
    <xf numFmtId="0" fontId="21" fillId="7" borderId="24" xfId="0" applyFont="1" applyFill="1" applyBorder="1" applyAlignment="1">
      <alignment horizontal="center"/>
    </xf>
    <xf numFmtId="0" fontId="21" fillId="7" borderId="43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19" fillId="0" borderId="44" xfId="2" applyFont="1" applyBorder="1" applyAlignment="1">
      <alignment horizontal="center" vertical="center"/>
    </xf>
    <xf numFmtId="0" fontId="12" fillId="0" borderId="40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20" fillId="7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7" borderId="27" xfId="0" applyFont="1" applyFill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0" fillId="7" borderId="33" xfId="0" applyFont="1" applyFill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14" fillId="0" borderId="65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0" xfId="0" applyFont="1" applyBorder="1"/>
    <xf numFmtId="0" fontId="12" fillId="0" borderId="36" xfId="0" applyFont="1" applyBorder="1" applyAlignment="1">
      <alignment horizontal="center" vertical="center"/>
    </xf>
    <xf numFmtId="0" fontId="0" fillId="0" borderId="36" xfId="0" applyFill="1" applyBorder="1"/>
    <xf numFmtId="0" fontId="0" fillId="0" borderId="37" xfId="0" applyBorder="1"/>
    <xf numFmtId="0" fontId="12" fillId="0" borderId="37" xfId="0" applyFont="1" applyBorder="1"/>
    <xf numFmtId="0" fontId="0" fillId="0" borderId="37" xfId="0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0" fillId="0" borderId="39" xfId="0" applyBorder="1" applyAlignment="1">
      <alignment horizontal="left"/>
    </xf>
    <xf numFmtId="0" fontId="3" fillId="0" borderId="43" xfId="3" applyFont="1" applyBorder="1" applyAlignment="1">
      <alignment horizontal="center" wrapText="1"/>
    </xf>
    <xf numFmtId="0" fontId="3" fillId="0" borderId="44" xfId="3" applyFont="1" applyBorder="1" applyAlignment="1">
      <alignment horizontal="center"/>
    </xf>
    <xf numFmtId="0" fontId="13" fillId="0" borderId="44" xfId="3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3" fillId="0" borderId="15" xfId="2" applyFont="1" applyBorder="1" applyAlignment="1">
      <alignment horizontal="center"/>
    </xf>
    <xf numFmtId="0" fontId="3" fillId="6" borderId="15" xfId="0" applyFont="1" applyFill="1" applyBorder="1" applyAlignment="1">
      <alignment horizontal="center" vertical="center"/>
    </xf>
    <xf numFmtId="0" fontId="17" fillId="0" borderId="63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/>
    </xf>
    <xf numFmtId="0" fontId="12" fillId="0" borderId="67" xfId="0" applyFont="1" applyBorder="1" applyAlignment="1">
      <alignment horizontal="center" vertical="center"/>
    </xf>
    <xf numFmtId="0" fontId="20" fillId="7" borderId="43" xfId="0" applyFont="1" applyFill="1" applyBorder="1" applyAlignment="1">
      <alignment horizontal="center"/>
    </xf>
    <xf numFmtId="0" fontId="12" fillId="0" borderId="67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34" xfId="0" applyFill="1" applyBorder="1"/>
    <xf numFmtId="0" fontId="12" fillId="0" borderId="48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12" fillId="0" borderId="34" xfId="0" applyFont="1" applyFill="1" applyBorder="1" applyAlignment="1">
      <alignment horizontal="center"/>
    </xf>
    <xf numFmtId="0" fontId="20" fillId="0" borderId="68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12" fillId="0" borderId="34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20" fillId="7" borderId="67" xfId="0" applyFont="1" applyFill="1" applyBorder="1" applyAlignment="1">
      <alignment horizontal="center"/>
    </xf>
    <xf numFmtId="0" fontId="14" fillId="0" borderId="70" xfId="0" applyFont="1" applyBorder="1" applyAlignment="1">
      <alignment horizontal="center" vertical="center"/>
    </xf>
    <xf numFmtId="0" fontId="20" fillId="7" borderId="30" xfId="0" applyFont="1" applyFill="1" applyBorder="1" applyAlignment="1">
      <alignment horizontal="center"/>
    </xf>
    <xf numFmtId="0" fontId="19" fillId="0" borderId="45" xfId="2" applyFont="1" applyBorder="1" applyAlignment="1">
      <alignment horizontal="center" vertical="center"/>
    </xf>
    <xf numFmtId="0" fontId="19" fillId="0" borderId="53" xfId="2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2" fontId="20" fillId="0" borderId="28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8" xfId="0" applyFont="1" applyBorder="1"/>
    <xf numFmtId="0" fontId="0" fillId="0" borderId="28" xfId="0" applyFont="1" applyFill="1" applyBorder="1"/>
    <xf numFmtId="0" fontId="22" fillId="0" borderId="0" xfId="0" applyFont="1"/>
    <xf numFmtId="0" fontId="0" fillId="0" borderId="28" xfId="0" applyFont="1" applyBorder="1" applyAlignment="1">
      <alignment horizontal="center"/>
    </xf>
    <xf numFmtId="0" fontId="0" fillId="0" borderId="0" xfId="0" applyFont="1" applyFill="1" applyBorder="1"/>
    <xf numFmtId="6" fontId="0" fillId="0" borderId="0" xfId="0" applyNumberFormat="1"/>
    <xf numFmtId="0" fontId="17" fillId="0" borderId="0" xfId="0" applyFont="1"/>
    <xf numFmtId="0" fontId="17" fillId="0" borderId="0" xfId="0" applyNumberFormat="1" applyFont="1" applyAlignment="1">
      <alignment horizontal="center"/>
    </xf>
    <xf numFmtId="0" fontId="0" fillId="0" borderId="28" xfId="0" applyNumberFormat="1" applyBorder="1"/>
    <xf numFmtId="0" fontId="0" fillId="0" borderId="0" xfId="0" applyNumberFormat="1"/>
    <xf numFmtId="0" fontId="17" fillId="0" borderId="28" xfId="0" applyFont="1" applyBorder="1" applyAlignment="1">
      <alignment horizontal="center"/>
    </xf>
    <xf numFmtId="6" fontId="0" fillId="0" borderId="28" xfId="0" applyNumberFormat="1" applyBorder="1"/>
    <xf numFmtId="6" fontId="0" fillId="0" borderId="0" xfId="0" applyNumberFormat="1" applyBorder="1"/>
    <xf numFmtId="6" fontId="17" fillId="0" borderId="0" xfId="0" applyNumberFormat="1" applyFont="1"/>
    <xf numFmtId="0" fontId="17" fillId="0" borderId="0" xfId="0" applyFont="1" applyFill="1" applyBorder="1"/>
    <xf numFmtId="0" fontId="17" fillId="0" borderId="0" xfId="0" applyFont="1" applyBorder="1"/>
    <xf numFmtId="0" fontId="17" fillId="0" borderId="28" xfId="0" applyFont="1" applyBorder="1"/>
    <xf numFmtId="0" fontId="17" fillId="0" borderId="0" xfId="0" applyFont="1" applyAlignment="1">
      <alignment horizontal="right"/>
    </xf>
    <xf numFmtId="0" fontId="17" fillId="4" borderId="28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23" fillId="0" borderId="0" xfId="0" applyFont="1"/>
    <xf numFmtId="0" fontId="14" fillId="0" borderId="28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21" fillId="7" borderId="28" xfId="0" applyFont="1" applyFill="1" applyBorder="1" applyAlignment="1">
      <alignment horizontal="center"/>
    </xf>
    <xf numFmtId="0" fontId="21" fillId="7" borderId="29" xfId="0" applyFont="1" applyFill="1" applyBorder="1" applyAlignment="1">
      <alignment horizontal="center"/>
    </xf>
    <xf numFmtId="0" fontId="21" fillId="7" borderId="25" xfId="0" applyFont="1" applyFill="1" applyBorder="1" applyAlignment="1">
      <alignment horizontal="center"/>
    </xf>
    <xf numFmtId="0" fontId="21" fillId="7" borderId="26" xfId="0" applyFont="1" applyFill="1" applyBorder="1" applyAlignment="1">
      <alignment horizontal="center"/>
    </xf>
    <xf numFmtId="0" fontId="21" fillId="7" borderId="44" xfId="0" applyFont="1" applyFill="1" applyBorder="1" applyAlignment="1">
      <alignment horizontal="center"/>
    </xf>
    <xf numFmtId="0" fontId="21" fillId="7" borderId="45" xfId="0" applyFont="1" applyFill="1" applyBorder="1" applyAlignment="1">
      <alignment horizontal="center"/>
    </xf>
    <xf numFmtId="0" fontId="21" fillId="7" borderId="54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21" fillId="7" borderId="53" xfId="0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4" borderId="44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21" fillId="4" borderId="2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21" fillId="4" borderId="36" xfId="0" applyFont="1" applyFill="1" applyBorder="1" applyAlignment="1">
      <alignment horizontal="center"/>
    </xf>
    <xf numFmtId="0" fontId="21" fillId="4" borderId="37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52" xfId="0" applyFont="1" applyFill="1" applyBorder="1" applyAlignment="1">
      <alignment horizontal="center" vertical="center" wrapText="1"/>
    </xf>
    <xf numFmtId="0" fontId="0" fillId="4" borderId="59" xfId="0" applyFill="1" applyBorder="1" applyAlignment="1">
      <alignment horizontal="center"/>
    </xf>
    <xf numFmtId="0" fontId="0" fillId="4" borderId="55" xfId="0" applyFill="1" applyBorder="1" applyAlignment="1">
      <alignment horizontal="center"/>
    </xf>
    <xf numFmtId="0" fontId="0" fillId="4" borderId="60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7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68" xfId="0" applyFill="1" applyBorder="1" applyAlignment="1">
      <alignment horizontal="center"/>
    </xf>
    <xf numFmtId="0" fontId="0" fillId="7" borderId="51" xfId="0" applyFill="1" applyBorder="1" applyAlignment="1">
      <alignment horizontal="center"/>
    </xf>
    <xf numFmtId="0" fontId="0" fillId="7" borderId="69" xfId="0" applyFill="1" applyBorder="1" applyAlignment="1">
      <alignment horizontal="center"/>
    </xf>
    <xf numFmtId="0" fontId="0" fillId="7" borderId="5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7" borderId="44" xfId="0" applyFill="1" applyBorder="1" applyAlignment="1">
      <alignment horizontal="center"/>
    </xf>
    <xf numFmtId="0" fontId="0" fillId="7" borderId="45" xfId="0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10" fillId="5" borderId="52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4" borderId="5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10" fillId="5" borderId="13" xfId="3" applyFont="1" applyFill="1" applyBorder="1" applyAlignment="1">
      <alignment horizontal="center" vertical="center" wrapText="1"/>
    </xf>
    <xf numFmtId="0" fontId="10" fillId="5" borderId="18" xfId="3" applyFont="1" applyFill="1" applyBorder="1" applyAlignment="1">
      <alignment horizontal="center" vertical="center" wrapText="1"/>
    </xf>
    <xf numFmtId="0" fontId="10" fillId="5" borderId="11" xfId="3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7" xfId="0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0" fontId="0" fillId="0" borderId="40" xfId="0" applyFill="1" applyBorder="1"/>
    <xf numFmtId="0" fontId="0" fillId="0" borderId="48" xfId="0" applyBorder="1"/>
    <xf numFmtId="0" fontId="12" fillId="0" borderId="42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0" fillId="0" borderId="38" xfId="0" applyBorder="1"/>
    <xf numFmtId="0" fontId="12" fillId="0" borderId="50" xfId="0" applyFont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7" fillId="0" borderId="66" xfId="0" applyFont="1" applyFill="1" applyBorder="1" applyAlignment="1">
      <alignment horizontal="center"/>
    </xf>
  </cellXfs>
  <cellStyles count="4">
    <cellStyle name="Įprastas 2" xfId="3"/>
    <cellStyle name="Normal" xfId="0" builtinId="0"/>
    <cellStyle name="Normal 3 2" xfId="2"/>
    <cellStyle name="Normal 4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68580</xdr:colOff>
      <xdr:row>0</xdr:row>
      <xdr:rowOff>45720</xdr:rowOff>
    </xdr:from>
    <xdr:ext cx="472497" cy="426719"/>
    <xdr:pic>
      <xdr:nvPicPr>
        <xdr:cNvPr id="3" name="Picture 2">
          <a:extLst>
            <a:ext uri="{FF2B5EF4-FFF2-40B4-BE49-F238E27FC236}">
              <a16:creationId xmlns:a16="http://schemas.microsoft.com/office/drawing/2014/main" id="{CC1067F0-8320-4FA2-A4EF-3F658BF7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180" y="45720"/>
          <a:ext cx="472497" cy="426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68580</xdr:colOff>
      <xdr:row>0</xdr:row>
      <xdr:rowOff>220980</xdr:rowOff>
    </xdr:from>
    <xdr:to>
      <xdr:col>13</xdr:col>
      <xdr:colOff>541021</xdr:colOff>
      <xdr:row>0</xdr:row>
      <xdr:rowOff>695685</xdr:rowOff>
    </xdr:to>
    <xdr:pic>
      <xdr:nvPicPr>
        <xdr:cNvPr id="2" name="Picture 595" descr="Logotipas LZSF">
          <a:extLst>
            <a:ext uri="{FF2B5EF4-FFF2-40B4-BE49-F238E27FC236}">
              <a16:creationId xmlns:a16="http://schemas.microsoft.com/office/drawing/2014/main" id="{D96A7D96-D2B4-45B3-9C68-A53C9F12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220980"/>
          <a:ext cx="472441" cy="467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53339</xdr:colOff>
      <xdr:row>0</xdr:row>
      <xdr:rowOff>53341</xdr:rowOff>
    </xdr:from>
    <xdr:to>
      <xdr:col>11</xdr:col>
      <xdr:colOff>525780</xdr:colOff>
      <xdr:row>2</xdr:row>
      <xdr:rowOff>154666</xdr:rowOff>
    </xdr:to>
    <xdr:pic>
      <xdr:nvPicPr>
        <xdr:cNvPr id="2" name="Picture 595" descr="Logotipas LZSF">
          <a:extLst>
            <a:ext uri="{FF2B5EF4-FFF2-40B4-BE49-F238E27FC236}">
              <a16:creationId xmlns:a16="http://schemas.microsoft.com/office/drawing/2014/main" id="{9A749E49-F4CE-40DC-8269-8A1F96E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39" y="53341"/>
          <a:ext cx="472441" cy="467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4" workbookViewId="0">
      <selection activeCell="C9" sqref="C9:D9"/>
    </sheetView>
  </sheetViews>
  <sheetFormatPr defaultRowHeight="14.4" x14ac:dyDescent="0.3"/>
  <cols>
    <col min="2" max="2" width="30" customWidth="1"/>
  </cols>
  <sheetData>
    <row r="1" spans="1:6" ht="15.6" x14ac:dyDescent="0.3">
      <c r="A1" s="23"/>
      <c r="B1" s="24" t="s">
        <v>19</v>
      </c>
      <c r="C1" s="25"/>
      <c r="D1" s="25"/>
    </row>
    <row r="2" spans="1:6" ht="15" thickBot="1" x14ac:dyDescent="0.35">
      <c r="A2" s="23"/>
      <c r="B2" s="23"/>
      <c r="C2" s="23"/>
      <c r="D2" s="23"/>
    </row>
    <row r="3" spans="1:6" ht="31.8" customHeight="1" thickBot="1" x14ac:dyDescent="0.35">
      <c r="A3" s="228" t="s">
        <v>20</v>
      </c>
      <c r="B3" s="230" t="s">
        <v>21</v>
      </c>
      <c r="C3" s="232" t="s">
        <v>22</v>
      </c>
      <c r="D3" s="234" t="s">
        <v>23</v>
      </c>
      <c r="E3" s="235"/>
      <c r="F3" s="236"/>
    </row>
    <row r="4" spans="1:6" ht="21" thickBot="1" x14ac:dyDescent="0.35">
      <c r="A4" s="229"/>
      <c r="B4" s="231"/>
      <c r="C4" s="233"/>
      <c r="D4" s="26" t="s">
        <v>24</v>
      </c>
      <c r="E4" s="27" t="s">
        <v>25</v>
      </c>
      <c r="F4" s="28" t="s">
        <v>44</v>
      </c>
    </row>
    <row r="5" spans="1:6" x14ac:dyDescent="0.3">
      <c r="A5" s="29">
        <v>1</v>
      </c>
      <c r="B5" s="30" t="s">
        <v>26</v>
      </c>
      <c r="C5" s="31">
        <v>1</v>
      </c>
      <c r="D5" s="31">
        <v>1.5</v>
      </c>
      <c r="E5" s="31">
        <v>2</v>
      </c>
      <c r="F5" s="32">
        <v>2.5</v>
      </c>
    </row>
    <row r="6" spans="1:6" x14ac:dyDescent="0.3">
      <c r="A6" s="33">
        <v>2</v>
      </c>
      <c r="B6" s="34" t="s">
        <v>27</v>
      </c>
      <c r="C6" s="35">
        <v>1.5</v>
      </c>
      <c r="D6" s="35"/>
      <c r="E6" s="35"/>
      <c r="F6" s="36"/>
    </row>
    <row r="7" spans="1:6" x14ac:dyDescent="0.3">
      <c r="A7" s="33">
        <v>3</v>
      </c>
      <c r="B7" s="34" t="s">
        <v>28</v>
      </c>
      <c r="C7" s="35">
        <v>1.5</v>
      </c>
      <c r="D7" s="35">
        <v>1.5</v>
      </c>
      <c r="E7" s="35">
        <v>2</v>
      </c>
      <c r="F7" s="36">
        <v>2.5</v>
      </c>
    </row>
    <row r="8" spans="1:6" x14ac:dyDescent="0.3">
      <c r="A8" s="33">
        <v>4</v>
      </c>
      <c r="B8" s="34" t="s">
        <v>29</v>
      </c>
      <c r="C8" s="35">
        <v>2</v>
      </c>
      <c r="D8" s="35">
        <v>1.5</v>
      </c>
      <c r="E8" s="35">
        <v>2</v>
      </c>
      <c r="F8" s="36"/>
    </row>
    <row r="9" spans="1:6" x14ac:dyDescent="0.3">
      <c r="A9" s="33">
        <v>5</v>
      </c>
      <c r="B9" s="34" t="s">
        <v>30</v>
      </c>
      <c r="C9" s="35">
        <v>2</v>
      </c>
      <c r="D9" s="35">
        <v>1.5</v>
      </c>
      <c r="E9" s="35">
        <v>2</v>
      </c>
      <c r="F9" s="36">
        <v>2.5</v>
      </c>
    </row>
    <row r="10" spans="1:6" x14ac:dyDescent="0.3">
      <c r="A10" s="33">
        <v>6</v>
      </c>
      <c r="B10" s="34" t="s">
        <v>31</v>
      </c>
      <c r="C10" s="35">
        <v>3</v>
      </c>
      <c r="D10" s="35">
        <v>1.5</v>
      </c>
      <c r="E10" s="35">
        <v>2</v>
      </c>
      <c r="F10" s="36">
        <v>2.5</v>
      </c>
    </row>
    <row r="11" spans="1:6" x14ac:dyDescent="0.3">
      <c r="A11" s="33">
        <v>7</v>
      </c>
      <c r="B11" s="34" t="s">
        <v>32</v>
      </c>
      <c r="C11" s="35">
        <v>4</v>
      </c>
      <c r="D11" s="35">
        <v>1.5</v>
      </c>
      <c r="E11" s="35">
        <v>2</v>
      </c>
      <c r="F11" s="36">
        <v>2.5</v>
      </c>
    </row>
    <row r="12" spans="1:6" x14ac:dyDescent="0.3">
      <c r="A12" s="33">
        <v>8</v>
      </c>
      <c r="B12" s="34" t="s">
        <v>33</v>
      </c>
      <c r="C12" s="35">
        <v>5</v>
      </c>
      <c r="D12" s="35">
        <v>1.5</v>
      </c>
      <c r="E12" s="35">
        <v>2</v>
      </c>
      <c r="F12" s="36">
        <v>2.5</v>
      </c>
    </row>
    <row r="13" spans="1:6" ht="42.6" customHeight="1" x14ac:dyDescent="0.3">
      <c r="A13" s="37">
        <v>9</v>
      </c>
      <c r="B13" s="38" t="s">
        <v>34</v>
      </c>
      <c r="C13" s="39">
        <v>5</v>
      </c>
      <c r="D13" s="39">
        <v>1.5</v>
      </c>
      <c r="E13" s="39">
        <v>2</v>
      </c>
      <c r="F13" s="40">
        <v>2.5</v>
      </c>
    </row>
    <row r="14" spans="1:6" x14ac:dyDescent="0.3">
      <c r="A14" s="35">
        <v>10</v>
      </c>
      <c r="B14" s="34" t="s">
        <v>35</v>
      </c>
      <c r="C14" s="41">
        <v>2</v>
      </c>
      <c r="D14" s="41">
        <v>1.5</v>
      </c>
      <c r="E14" s="41">
        <v>2</v>
      </c>
      <c r="F14" s="41">
        <v>2.5</v>
      </c>
    </row>
    <row r="15" spans="1:6" x14ac:dyDescent="0.3">
      <c r="A15" s="42"/>
      <c r="B15" s="23"/>
      <c r="C15" s="43"/>
      <c r="D15" s="43"/>
      <c r="E15" s="43"/>
      <c r="F15" s="43"/>
    </row>
    <row r="16" spans="1:6" ht="15" thickBot="1" x14ac:dyDescent="0.35">
      <c r="A16" s="42"/>
      <c r="B16" s="23"/>
      <c r="C16" s="23"/>
      <c r="D16" s="43"/>
      <c r="E16" s="43"/>
      <c r="F16" s="43"/>
    </row>
    <row r="17" spans="1:6" ht="15" thickBot="1" x14ac:dyDescent="0.35">
      <c r="A17" s="44" t="s">
        <v>20</v>
      </c>
      <c r="B17" s="45" t="s">
        <v>36</v>
      </c>
      <c r="C17" s="46" t="s">
        <v>37</v>
      </c>
      <c r="D17" s="23"/>
    </row>
    <row r="18" spans="1:6" ht="45" customHeight="1" x14ac:dyDescent="0.3">
      <c r="A18" s="29">
        <v>1</v>
      </c>
      <c r="B18" s="47" t="s">
        <v>38</v>
      </c>
      <c r="C18" s="32">
        <v>500</v>
      </c>
      <c r="D18" s="48"/>
      <c r="E18" s="49"/>
      <c r="F18" s="49"/>
    </row>
    <row r="19" spans="1:6" ht="15" thickBot="1" x14ac:dyDescent="0.35">
      <c r="A19" s="50">
        <v>2</v>
      </c>
      <c r="B19" s="51" t="s">
        <v>39</v>
      </c>
      <c r="C19" s="52">
        <v>250</v>
      </c>
      <c r="D19" s="48"/>
      <c r="E19" s="49"/>
      <c r="F19" s="49"/>
    </row>
    <row r="20" spans="1:6" x14ac:dyDescent="0.3">
      <c r="A20" s="23"/>
      <c r="B20" s="23"/>
      <c r="C20" s="23"/>
      <c r="D20" s="23"/>
    </row>
    <row r="21" spans="1:6" x14ac:dyDescent="0.3">
      <c r="A21" s="23"/>
      <c r="B21" s="53" t="s">
        <v>40</v>
      </c>
      <c r="C21" s="23"/>
      <c r="D21" s="23"/>
    </row>
    <row r="22" spans="1:6" x14ac:dyDescent="0.3">
      <c r="A22" s="42">
        <v>1</v>
      </c>
      <c r="B22" s="23" t="s">
        <v>41</v>
      </c>
      <c r="C22" s="23"/>
      <c r="D22" s="23"/>
      <c r="E22" s="54"/>
    </row>
    <row r="23" spans="1:6" x14ac:dyDescent="0.3">
      <c r="A23" s="42">
        <v>2</v>
      </c>
      <c r="B23" s="23" t="s">
        <v>42</v>
      </c>
      <c r="C23" s="23"/>
      <c r="D23" s="23"/>
      <c r="E23" s="54"/>
    </row>
    <row r="24" spans="1:6" x14ac:dyDescent="0.3">
      <c r="A24" s="42">
        <v>3</v>
      </c>
      <c r="B24" s="23" t="s">
        <v>43</v>
      </c>
      <c r="C24" s="53"/>
      <c r="D24" s="23"/>
    </row>
  </sheetData>
  <mergeCells count="4">
    <mergeCell ref="A3:A4"/>
    <mergeCell ref="B3:B4"/>
    <mergeCell ref="C3:C4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G5" sqref="G5:G15"/>
    </sheetView>
  </sheetViews>
  <sheetFormatPr defaultRowHeight="14.4" x14ac:dyDescent="0.3"/>
  <sheetData>
    <row r="1" spans="1:16" ht="15.6" x14ac:dyDescent="0.3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6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15" thickBot="1" x14ac:dyDescent="0.35">
      <c r="A3" s="2"/>
      <c r="B3" s="238" t="s">
        <v>1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40"/>
    </row>
    <row r="4" spans="1:16" ht="27.6" thickBot="1" x14ac:dyDescent="0.35">
      <c r="A4" s="3" t="s">
        <v>2</v>
      </c>
      <c r="B4" s="4">
        <v>16</v>
      </c>
      <c r="C4" s="4">
        <v>15</v>
      </c>
      <c r="D4" s="4">
        <v>14</v>
      </c>
      <c r="E4" s="4">
        <v>13</v>
      </c>
      <c r="F4" s="4">
        <v>12</v>
      </c>
      <c r="G4" s="4">
        <v>11</v>
      </c>
      <c r="H4" s="4">
        <v>10</v>
      </c>
      <c r="I4" s="4">
        <v>9</v>
      </c>
      <c r="J4" s="4">
        <v>8</v>
      </c>
      <c r="K4" s="4">
        <v>7</v>
      </c>
      <c r="L4" s="4">
        <v>6</v>
      </c>
      <c r="M4" s="4">
        <v>5</v>
      </c>
      <c r="N4" s="5">
        <v>4</v>
      </c>
      <c r="O4" s="6">
        <v>3</v>
      </c>
      <c r="P4" s="7">
        <v>2</v>
      </c>
    </row>
    <row r="5" spans="1:16" ht="15" thickBot="1" x14ac:dyDescent="0.35">
      <c r="A5" s="8" t="s">
        <v>3</v>
      </c>
      <c r="B5" s="9">
        <v>20</v>
      </c>
      <c r="C5" s="9">
        <v>19</v>
      </c>
      <c r="D5" s="9">
        <v>18</v>
      </c>
      <c r="E5" s="9">
        <v>17</v>
      </c>
      <c r="F5" s="9">
        <v>16</v>
      </c>
      <c r="G5" s="9">
        <v>15</v>
      </c>
      <c r="H5" s="9">
        <v>14</v>
      </c>
      <c r="I5" s="9">
        <v>13</v>
      </c>
      <c r="J5" s="9">
        <v>12</v>
      </c>
      <c r="K5" s="9">
        <v>11</v>
      </c>
      <c r="L5" s="9">
        <v>10</v>
      </c>
      <c r="M5" s="9">
        <v>9</v>
      </c>
      <c r="N5" s="10">
        <v>8</v>
      </c>
      <c r="O5" s="11">
        <v>6</v>
      </c>
      <c r="P5" s="12">
        <v>4</v>
      </c>
    </row>
    <row r="6" spans="1:16" ht="15" thickBot="1" x14ac:dyDescent="0.35">
      <c r="A6" s="8" t="s">
        <v>4</v>
      </c>
      <c r="B6" s="9">
        <v>17</v>
      </c>
      <c r="C6" s="9">
        <v>16</v>
      </c>
      <c r="D6" s="9">
        <v>15</v>
      </c>
      <c r="E6" s="9">
        <v>14</v>
      </c>
      <c r="F6" s="9">
        <v>13</v>
      </c>
      <c r="G6" s="9">
        <v>12</v>
      </c>
      <c r="H6" s="9">
        <v>11</v>
      </c>
      <c r="I6" s="9">
        <v>10</v>
      </c>
      <c r="J6" s="9">
        <v>9</v>
      </c>
      <c r="K6" s="9">
        <v>8</v>
      </c>
      <c r="L6" s="9">
        <v>7</v>
      </c>
      <c r="M6" s="9">
        <v>6</v>
      </c>
      <c r="N6" s="10">
        <v>5</v>
      </c>
      <c r="O6" s="11">
        <v>3</v>
      </c>
      <c r="P6" s="12">
        <v>1</v>
      </c>
    </row>
    <row r="7" spans="1:16" ht="15" thickBot="1" x14ac:dyDescent="0.35">
      <c r="A7" s="8" t="s">
        <v>5</v>
      </c>
      <c r="B7" s="9">
        <v>15</v>
      </c>
      <c r="C7" s="9">
        <v>14</v>
      </c>
      <c r="D7" s="9">
        <v>13</v>
      </c>
      <c r="E7" s="9">
        <v>12</v>
      </c>
      <c r="F7" s="9">
        <v>11</v>
      </c>
      <c r="G7" s="9">
        <v>10</v>
      </c>
      <c r="H7" s="9">
        <v>9</v>
      </c>
      <c r="I7" s="9">
        <v>8</v>
      </c>
      <c r="J7" s="9">
        <v>7</v>
      </c>
      <c r="K7" s="9">
        <v>6</v>
      </c>
      <c r="L7" s="9">
        <v>5</v>
      </c>
      <c r="M7" s="9">
        <v>4</v>
      </c>
      <c r="N7" s="10">
        <v>3</v>
      </c>
      <c r="O7" s="13">
        <v>1</v>
      </c>
      <c r="P7" s="14"/>
    </row>
    <row r="8" spans="1:16" ht="15" thickBot="1" x14ac:dyDescent="0.35">
      <c r="A8" s="8" t="s">
        <v>6</v>
      </c>
      <c r="B8" s="9">
        <v>13</v>
      </c>
      <c r="C8" s="9">
        <v>12</v>
      </c>
      <c r="D8" s="9">
        <v>11</v>
      </c>
      <c r="E8" s="9">
        <v>10</v>
      </c>
      <c r="F8" s="9">
        <v>9</v>
      </c>
      <c r="G8" s="9">
        <v>8</v>
      </c>
      <c r="H8" s="9">
        <v>7</v>
      </c>
      <c r="I8" s="9">
        <v>6</v>
      </c>
      <c r="J8" s="9">
        <v>5</v>
      </c>
      <c r="K8" s="9">
        <v>4</v>
      </c>
      <c r="L8" s="9">
        <v>3</v>
      </c>
      <c r="M8" s="9">
        <v>2</v>
      </c>
      <c r="N8" s="10">
        <v>1</v>
      </c>
      <c r="O8" s="15"/>
      <c r="P8" s="16"/>
    </row>
    <row r="9" spans="1:16" ht="15" thickBot="1" x14ac:dyDescent="0.35">
      <c r="A9" s="8" t="s">
        <v>7</v>
      </c>
      <c r="B9" s="9">
        <v>12</v>
      </c>
      <c r="C9" s="9">
        <v>11</v>
      </c>
      <c r="D9" s="9">
        <v>10</v>
      </c>
      <c r="E9" s="9">
        <v>9</v>
      </c>
      <c r="F9" s="9">
        <v>8</v>
      </c>
      <c r="G9" s="9">
        <v>7</v>
      </c>
      <c r="H9" s="9">
        <v>6</v>
      </c>
      <c r="I9" s="9">
        <v>5</v>
      </c>
      <c r="J9" s="9">
        <v>4</v>
      </c>
      <c r="K9" s="9">
        <v>3</v>
      </c>
      <c r="L9" s="9">
        <v>2</v>
      </c>
      <c r="M9" s="9">
        <v>1</v>
      </c>
      <c r="N9" s="17"/>
      <c r="O9" s="15"/>
      <c r="P9" s="16"/>
    </row>
    <row r="10" spans="1:16" ht="15" thickBot="1" x14ac:dyDescent="0.35">
      <c r="A10" s="8" t="s">
        <v>8</v>
      </c>
      <c r="B10" s="9">
        <v>11</v>
      </c>
      <c r="C10" s="9">
        <v>10</v>
      </c>
      <c r="D10" s="9">
        <v>9</v>
      </c>
      <c r="E10" s="9">
        <v>8</v>
      </c>
      <c r="F10" s="9">
        <v>7</v>
      </c>
      <c r="G10" s="9">
        <v>6</v>
      </c>
      <c r="H10" s="9">
        <v>5</v>
      </c>
      <c r="I10" s="9">
        <v>4</v>
      </c>
      <c r="J10" s="9">
        <v>3</v>
      </c>
      <c r="K10" s="9">
        <v>2</v>
      </c>
      <c r="L10" s="9">
        <v>1</v>
      </c>
      <c r="M10" s="18"/>
      <c r="N10" s="17"/>
      <c r="O10" s="15"/>
      <c r="P10" s="16"/>
    </row>
    <row r="11" spans="1:16" ht="15" thickBot="1" x14ac:dyDescent="0.35">
      <c r="A11" s="8" t="s">
        <v>9</v>
      </c>
      <c r="B11" s="9">
        <v>10</v>
      </c>
      <c r="C11" s="9">
        <v>9</v>
      </c>
      <c r="D11" s="9">
        <v>8</v>
      </c>
      <c r="E11" s="9">
        <v>7</v>
      </c>
      <c r="F11" s="9">
        <v>6</v>
      </c>
      <c r="G11" s="9">
        <v>5</v>
      </c>
      <c r="H11" s="9">
        <v>4</v>
      </c>
      <c r="I11" s="9">
        <v>3</v>
      </c>
      <c r="J11" s="9">
        <v>2</v>
      </c>
      <c r="K11" s="9">
        <v>1</v>
      </c>
      <c r="L11" s="18"/>
      <c r="M11" s="18"/>
      <c r="N11" s="17"/>
      <c r="O11" s="15"/>
      <c r="P11" s="16"/>
    </row>
    <row r="12" spans="1:16" ht="15" thickBot="1" x14ac:dyDescent="0.35">
      <c r="A12" s="8" t="s">
        <v>10</v>
      </c>
      <c r="B12" s="9">
        <v>9</v>
      </c>
      <c r="C12" s="9">
        <v>8</v>
      </c>
      <c r="D12" s="9">
        <v>7</v>
      </c>
      <c r="E12" s="9">
        <v>6</v>
      </c>
      <c r="F12" s="9">
        <v>5</v>
      </c>
      <c r="G12" s="9">
        <v>4</v>
      </c>
      <c r="H12" s="9">
        <v>3</v>
      </c>
      <c r="I12" s="9">
        <v>2</v>
      </c>
      <c r="J12" s="9">
        <v>1</v>
      </c>
      <c r="K12" s="18"/>
      <c r="L12" s="18"/>
      <c r="M12" s="18"/>
      <c r="N12" s="17"/>
      <c r="O12" s="15"/>
      <c r="P12" s="16"/>
    </row>
    <row r="13" spans="1:16" ht="15" thickBot="1" x14ac:dyDescent="0.35">
      <c r="A13" s="8" t="s">
        <v>11</v>
      </c>
      <c r="B13" s="9">
        <v>8</v>
      </c>
      <c r="C13" s="9">
        <v>7</v>
      </c>
      <c r="D13" s="9">
        <v>6</v>
      </c>
      <c r="E13" s="9">
        <v>5</v>
      </c>
      <c r="F13" s="9">
        <v>4</v>
      </c>
      <c r="G13" s="9">
        <v>3</v>
      </c>
      <c r="H13" s="9">
        <v>2</v>
      </c>
      <c r="I13" s="9">
        <v>1</v>
      </c>
      <c r="J13" s="18"/>
      <c r="K13" s="18"/>
      <c r="L13" s="18"/>
      <c r="M13" s="18"/>
      <c r="N13" s="17"/>
      <c r="O13" s="15"/>
      <c r="P13" s="16"/>
    </row>
    <row r="14" spans="1:16" ht="15" thickBot="1" x14ac:dyDescent="0.35">
      <c r="A14" s="8" t="s">
        <v>12</v>
      </c>
      <c r="B14" s="9">
        <v>7</v>
      </c>
      <c r="C14" s="9">
        <v>6</v>
      </c>
      <c r="D14" s="9">
        <v>5</v>
      </c>
      <c r="E14" s="9">
        <v>4</v>
      </c>
      <c r="F14" s="9">
        <v>3</v>
      </c>
      <c r="G14" s="9">
        <v>2</v>
      </c>
      <c r="H14" s="9">
        <v>1</v>
      </c>
      <c r="I14" s="18"/>
      <c r="J14" s="18"/>
      <c r="K14" s="18"/>
      <c r="L14" s="18"/>
      <c r="M14" s="18"/>
      <c r="N14" s="17"/>
      <c r="O14" s="19"/>
      <c r="P14" s="20"/>
    </row>
    <row r="15" spans="1:16" ht="15" thickBot="1" x14ac:dyDescent="0.35">
      <c r="A15" s="8" t="s">
        <v>13</v>
      </c>
      <c r="B15" s="9">
        <v>6</v>
      </c>
      <c r="C15" s="9">
        <v>5</v>
      </c>
      <c r="D15" s="9">
        <v>4</v>
      </c>
      <c r="E15" s="9">
        <v>3</v>
      </c>
      <c r="F15" s="9">
        <v>2</v>
      </c>
      <c r="G15" s="9">
        <v>1</v>
      </c>
      <c r="H15" s="18"/>
      <c r="I15" s="18"/>
      <c r="J15" s="18"/>
      <c r="K15" s="18"/>
      <c r="L15" s="18"/>
      <c r="M15" s="18"/>
      <c r="N15" s="17"/>
      <c r="O15" s="21"/>
      <c r="P15" s="22"/>
    </row>
    <row r="16" spans="1:16" ht="15" thickBot="1" x14ac:dyDescent="0.35">
      <c r="A16" s="8" t="s">
        <v>14</v>
      </c>
      <c r="B16" s="9">
        <v>5</v>
      </c>
      <c r="C16" s="9">
        <v>4</v>
      </c>
      <c r="D16" s="9">
        <v>3</v>
      </c>
      <c r="E16" s="9">
        <v>2</v>
      </c>
      <c r="F16" s="9">
        <v>1</v>
      </c>
      <c r="G16" s="18"/>
      <c r="H16" s="18"/>
      <c r="I16" s="18"/>
      <c r="J16" s="18"/>
      <c r="K16" s="18"/>
      <c r="L16" s="18"/>
      <c r="M16" s="18"/>
      <c r="N16" s="17"/>
      <c r="O16" s="21"/>
      <c r="P16" s="22"/>
    </row>
    <row r="17" spans="1:16" ht="15" thickBot="1" x14ac:dyDescent="0.35">
      <c r="A17" s="8" t="s">
        <v>15</v>
      </c>
      <c r="B17" s="9">
        <v>4</v>
      </c>
      <c r="C17" s="9">
        <v>3</v>
      </c>
      <c r="D17" s="9">
        <v>2</v>
      </c>
      <c r="E17" s="9">
        <v>1</v>
      </c>
      <c r="F17" s="18"/>
      <c r="G17" s="18"/>
      <c r="H17" s="18"/>
      <c r="I17" s="18"/>
      <c r="J17" s="18"/>
      <c r="K17" s="18"/>
      <c r="L17" s="18"/>
      <c r="M17" s="18"/>
      <c r="N17" s="17"/>
      <c r="O17" s="21"/>
      <c r="P17" s="22"/>
    </row>
    <row r="18" spans="1:16" ht="15" thickBot="1" x14ac:dyDescent="0.35">
      <c r="A18" s="8" t="s">
        <v>16</v>
      </c>
      <c r="B18" s="9">
        <v>3</v>
      </c>
      <c r="C18" s="9">
        <v>2</v>
      </c>
      <c r="D18" s="9">
        <v>1</v>
      </c>
      <c r="E18" s="18"/>
      <c r="F18" s="18"/>
      <c r="G18" s="18"/>
      <c r="H18" s="18"/>
      <c r="I18" s="18"/>
      <c r="J18" s="18"/>
      <c r="K18" s="18"/>
      <c r="L18" s="18"/>
      <c r="M18" s="18"/>
      <c r="N18" s="17"/>
      <c r="O18" s="21"/>
      <c r="P18" s="22"/>
    </row>
    <row r="19" spans="1:16" ht="15" thickBot="1" x14ac:dyDescent="0.35">
      <c r="A19" s="8" t="s">
        <v>17</v>
      </c>
      <c r="B19" s="9">
        <v>2</v>
      </c>
      <c r="C19" s="9">
        <v>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7"/>
      <c r="O19" s="21"/>
      <c r="P19" s="22"/>
    </row>
    <row r="20" spans="1:16" ht="15" thickBot="1" x14ac:dyDescent="0.35">
      <c r="A20" s="8" t="s">
        <v>18</v>
      </c>
      <c r="B20" s="9">
        <v>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7"/>
      <c r="O20" s="21"/>
      <c r="P20" s="22"/>
    </row>
  </sheetData>
  <mergeCells count="2">
    <mergeCell ref="A1:N1"/>
    <mergeCell ref="B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6"/>
  <sheetViews>
    <sheetView tabSelected="1" workbookViewId="0">
      <selection activeCell="G10" sqref="G10"/>
    </sheetView>
  </sheetViews>
  <sheetFormatPr defaultRowHeight="14.4" x14ac:dyDescent="0.3"/>
  <cols>
    <col min="2" max="2" width="20.109375" customWidth="1"/>
    <col min="3" max="3" width="11.6640625" style="134" customWidth="1"/>
    <col min="4" max="23" width="6.88671875" customWidth="1"/>
    <col min="24" max="44" width="6.77734375" style="146" customWidth="1"/>
    <col min="45" max="64" width="6.6640625" style="146" customWidth="1"/>
    <col min="65" max="65" width="7.109375" style="146" customWidth="1"/>
    <col min="66" max="70" width="6.6640625" style="146" customWidth="1"/>
    <col min="71" max="71" width="10.33203125" customWidth="1"/>
    <col min="80" max="80" width="12.88671875" customWidth="1"/>
    <col min="83" max="83" width="19.33203125" customWidth="1"/>
  </cols>
  <sheetData>
    <row r="1" spans="1:71" x14ac:dyDescent="0.3">
      <c r="A1" s="280" t="s">
        <v>261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2"/>
    </row>
    <row r="2" spans="1:71" ht="15" thickBot="1" x14ac:dyDescent="0.35">
      <c r="A2" s="283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5"/>
      <c r="BN2" s="285"/>
      <c r="BO2" s="285"/>
      <c r="BP2" s="285"/>
      <c r="BQ2" s="285"/>
      <c r="BR2" s="285"/>
      <c r="BS2" s="286"/>
    </row>
    <row r="3" spans="1:71" ht="19.8" customHeight="1" thickBot="1" x14ac:dyDescent="0.35">
      <c r="A3" s="58" t="s">
        <v>89</v>
      </c>
      <c r="B3" s="358" t="s">
        <v>90</v>
      </c>
      <c r="C3" s="61" t="s">
        <v>91</v>
      </c>
      <c r="D3" s="92">
        <v>1</v>
      </c>
      <c r="E3" s="92">
        <v>2</v>
      </c>
      <c r="F3" s="92">
        <v>3</v>
      </c>
      <c r="G3" s="92">
        <v>4</v>
      </c>
      <c r="H3" s="92">
        <v>5</v>
      </c>
      <c r="I3" s="92">
        <v>6</v>
      </c>
      <c r="J3" s="92">
        <v>8</v>
      </c>
      <c r="K3" s="92">
        <v>9</v>
      </c>
      <c r="L3" s="92">
        <v>10</v>
      </c>
      <c r="M3" s="92">
        <v>11</v>
      </c>
      <c r="N3" s="92">
        <v>12</v>
      </c>
      <c r="O3" s="92">
        <v>13</v>
      </c>
      <c r="P3" s="92">
        <v>14</v>
      </c>
      <c r="Q3" s="92">
        <v>15</v>
      </c>
      <c r="R3" s="62">
        <v>16</v>
      </c>
      <c r="S3" s="68">
        <v>17</v>
      </c>
      <c r="T3" s="68">
        <v>18</v>
      </c>
      <c r="U3" s="68">
        <v>19</v>
      </c>
      <c r="V3" s="68">
        <v>20</v>
      </c>
      <c r="W3" s="68">
        <v>21</v>
      </c>
      <c r="X3" s="142">
        <v>1</v>
      </c>
      <c r="Y3" s="142">
        <v>2</v>
      </c>
      <c r="Z3" s="142">
        <v>3</v>
      </c>
      <c r="AA3" s="142">
        <v>4</v>
      </c>
      <c r="AB3" s="142">
        <v>5</v>
      </c>
      <c r="AC3" s="142">
        <v>6</v>
      </c>
      <c r="AD3" s="120">
        <v>7</v>
      </c>
      <c r="AE3" s="120">
        <v>8</v>
      </c>
      <c r="AF3" s="120">
        <v>9</v>
      </c>
      <c r="AG3" s="120">
        <v>10</v>
      </c>
      <c r="AH3" s="120">
        <v>11</v>
      </c>
      <c r="AI3" s="120">
        <v>12</v>
      </c>
      <c r="AJ3" s="120">
        <v>13</v>
      </c>
      <c r="AK3" s="120">
        <v>14</v>
      </c>
      <c r="AL3" s="120">
        <v>15</v>
      </c>
      <c r="AM3" s="120">
        <v>16</v>
      </c>
      <c r="AN3" s="142">
        <v>17</v>
      </c>
      <c r="AO3" s="142">
        <v>18</v>
      </c>
      <c r="AP3" s="142">
        <v>19</v>
      </c>
      <c r="AQ3" s="142">
        <v>20</v>
      </c>
      <c r="AR3" s="142">
        <v>21</v>
      </c>
      <c r="AS3" s="142">
        <v>22</v>
      </c>
      <c r="AT3" s="142">
        <v>23</v>
      </c>
      <c r="AU3" s="142">
        <v>24</v>
      </c>
      <c r="AV3" s="142">
        <v>25</v>
      </c>
      <c r="AW3" s="120">
        <v>26</v>
      </c>
      <c r="AX3" s="120">
        <v>27</v>
      </c>
      <c r="AY3" s="120">
        <v>28</v>
      </c>
      <c r="AZ3" s="120">
        <v>29</v>
      </c>
      <c r="BA3" s="120">
        <v>30</v>
      </c>
      <c r="BB3" s="120">
        <v>31</v>
      </c>
      <c r="BC3" s="120">
        <v>32</v>
      </c>
      <c r="BD3" s="120">
        <v>33</v>
      </c>
      <c r="BE3" s="120">
        <v>34</v>
      </c>
      <c r="BF3" s="120">
        <v>35</v>
      </c>
      <c r="BG3" s="120">
        <v>36</v>
      </c>
      <c r="BH3" s="120">
        <v>37</v>
      </c>
      <c r="BI3" s="120">
        <v>38</v>
      </c>
      <c r="BJ3" s="120">
        <v>39</v>
      </c>
      <c r="BK3" s="120">
        <v>40</v>
      </c>
      <c r="BL3" s="142">
        <v>41</v>
      </c>
      <c r="BM3" s="198">
        <v>42</v>
      </c>
      <c r="BN3" s="120">
        <v>43</v>
      </c>
      <c r="BO3" s="142">
        <v>44</v>
      </c>
      <c r="BP3" s="142">
        <v>45</v>
      </c>
      <c r="BQ3" s="142">
        <v>46</v>
      </c>
      <c r="BR3" s="197">
        <v>47</v>
      </c>
      <c r="BS3" s="123" t="s">
        <v>91</v>
      </c>
    </row>
    <row r="4" spans="1:71" x14ac:dyDescent="0.3">
      <c r="A4" s="131">
        <v>1</v>
      </c>
      <c r="B4" s="359" t="s">
        <v>262</v>
      </c>
      <c r="C4" s="365">
        <f>BS4</f>
        <v>4994.5</v>
      </c>
      <c r="D4" s="361">
        <v>87.5</v>
      </c>
      <c r="E4" s="87">
        <v>84.5</v>
      </c>
      <c r="F4" s="87"/>
      <c r="G4" s="87"/>
      <c r="H4" s="87"/>
      <c r="I4" s="87"/>
      <c r="J4" s="87"/>
      <c r="K4" s="87">
        <v>52.5</v>
      </c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>
        <v>85</v>
      </c>
      <c r="X4" s="148"/>
      <c r="Y4" s="148"/>
      <c r="Z4" s="148">
        <v>265.5</v>
      </c>
      <c r="AA4" s="148">
        <v>94.5</v>
      </c>
      <c r="AB4" s="148">
        <v>215.5</v>
      </c>
      <c r="AC4" s="148">
        <v>286</v>
      </c>
      <c r="AD4" s="148">
        <v>189</v>
      </c>
      <c r="AE4" s="148"/>
      <c r="AF4" s="148"/>
      <c r="AG4" s="148">
        <v>252</v>
      </c>
      <c r="AH4" s="148">
        <v>132.5</v>
      </c>
      <c r="AI4" s="148">
        <v>170</v>
      </c>
      <c r="AJ4" s="148">
        <v>136</v>
      </c>
      <c r="AK4" s="148"/>
      <c r="AL4" s="148">
        <v>167.5</v>
      </c>
      <c r="AM4" s="148"/>
      <c r="AN4" s="148">
        <v>207</v>
      </c>
      <c r="AO4" s="148"/>
      <c r="AP4" s="148"/>
      <c r="AQ4" s="148">
        <v>361</v>
      </c>
      <c r="AR4" s="148">
        <v>112.5</v>
      </c>
      <c r="AS4" s="148">
        <v>200</v>
      </c>
      <c r="AT4" s="148">
        <v>199</v>
      </c>
      <c r="AU4" s="148"/>
      <c r="AV4" s="148"/>
      <c r="AW4" s="148">
        <v>182</v>
      </c>
      <c r="AX4" s="148">
        <v>302.5</v>
      </c>
      <c r="AY4" s="148">
        <v>30</v>
      </c>
      <c r="AZ4" s="148"/>
      <c r="BA4" s="148">
        <v>157.5</v>
      </c>
      <c r="BB4" s="148"/>
      <c r="BC4" s="148"/>
      <c r="BD4" s="148"/>
      <c r="BE4" s="151">
        <v>141.5</v>
      </c>
      <c r="BF4" s="151"/>
      <c r="BG4" s="151"/>
      <c r="BH4" s="151"/>
      <c r="BI4" s="151"/>
      <c r="BJ4" s="151">
        <v>198</v>
      </c>
      <c r="BK4" s="151"/>
      <c r="BL4" s="151">
        <v>428</v>
      </c>
      <c r="BM4" s="148"/>
      <c r="BN4" s="148">
        <v>181</v>
      </c>
      <c r="BO4" s="353"/>
      <c r="BP4" s="353"/>
      <c r="BQ4" s="353"/>
      <c r="BR4" s="354">
        <v>76.5</v>
      </c>
      <c r="BS4" s="144">
        <f>SUM(D4:BR4)</f>
        <v>4994.5</v>
      </c>
    </row>
    <row r="5" spans="1:71" x14ac:dyDescent="0.3">
      <c r="A5" s="124">
        <v>2</v>
      </c>
      <c r="B5" s="119" t="s">
        <v>249</v>
      </c>
      <c r="C5" s="365">
        <f>BS5</f>
        <v>3620.5</v>
      </c>
      <c r="D5" s="362">
        <v>87.5</v>
      </c>
      <c r="E5" s="69">
        <v>170.5</v>
      </c>
      <c r="F5" s="69"/>
      <c r="G5" s="69"/>
      <c r="H5" s="69"/>
      <c r="I5" s="69"/>
      <c r="J5" s="69"/>
      <c r="K5" s="69">
        <v>2.5</v>
      </c>
      <c r="L5" s="69"/>
      <c r="M5" s="69">
        <v>105</v>
      </c>
      <c r="N5" s="69">
        <v>208</v>
      </c>
      <c r="O5" s="69">
        <v>45</v>
      </c>
      <c r="P5" s="87">
        <v>100</v>
      </c>
      <c r="Q5" s="69"/>
      <c r="R5" s="69">
        <v>37.5</v>
      </c>
      <c r="S5" s="69">
        <v>167.5</v>
      </c>
      <c r="T5" s="69">
        <v>12.5</v>
      </c>
      <c r="U5" s="69"/>
      <c r="V5" s="69"/>
      <c r="W5" s="69">
        <v>135</v>
      </c>
      <c r="X5" s="121"/>
      <c r="Y5" s="121"/>
      <c r="Z5" s="121">
        <v>76.5</v>
      </c>
      <c r="AA5" s="121">
        <v>178.5</v>
      </c>
      <c r="AB5" s="121">
        <v>191</v>
      </c>
      <c r="AC5" s="121">
        <v>133.5</v>
      </c>
      <c r="AD5" s="121">
        <v>110</v>
      </c>
      <c r="AE5" s="121"/>
      <c r="AF5" s="121"/>
      <c r="AG5" s="121">
        <v>338</v>
      </c>
      <c r="AH5" s="121"/>
      <c r="AI5" s="121"/>
      <c r="AJ5" s="121"/>
      <c r="AK5" s="121"/>
      <c r="AL5" s="121"/>
      <c r="AM5" s="121"/>
      <c r="AN5" s="121">
        <v>190</v>
      </c>
      <c r="AO5" s="121"/>
      <c r="AP5" s="121"/>
      <c r="AQ5" s="121">
        <v>129.5</v>
      </c>
      <c r="AR5" s="121">
        <v>189</v>
      </c>
      <c r="AS5" s="121">
        <v>110.5</v>
      </c>
      <c r="AT5" s="121">
        <v>188.5</v>
      </c>
      <c r="AU5" s="121"/>
      <c r="AV5" s="121"/>
      <c r="AW5" s="121">
        <v>94</v>
      </c>
      <c r="AX5" s="121">
        <v>119.5</v>
      </c>
      <c r="AY5" s="121"/>
      <c r="AZ5" s="121"/>
      <c r="BA5" s="121"/>
      <c r="BB5" s="121"/>
      <c r="BC5" s="121"/>
      <c r="BD5" s="121"/>
      <c r="BE5" s="152">
        <v>205.5</v>
      </c>
      <c r="BF5" s="152"/>
      <c r="BG5" s="152"/>
      <c r="BH5" s="152"/>
      <c r="BI5" s="152">
        <v>21</v>
      </c>
      <c r="BJ5" s="152"/>
      <c r="BK5" s="152"/>
      <c r="BL5" s="152"/>
      <c r="BM5" s="121"/>
      <c r="BN5" s="121"/>
      <c r="BO5" s="121"/>
      <c r="BP5" s="121"/>
      <c r="BQ5" s="121"/>
      <c r="BR5" s="355">
        <v>274.5</v>
      </c>
      <c r="BS5" s="144">
        <f>SUM(D5:BR5)</f>
        <v>3620.5</v>
      </c>
    </row>
    <row r="6" spans="1:71" x14ac:dyDescent="0.3">
      <c r="A6" s="131">
        <v>3</v>
      </c>
      <c r="B6" s="119" t="s">
        <v>250</v>
      </c>
      <c r="C6" s="365">
        <f>BS6</f>
        <v>1591.5</v>
      </c>
      <c r="D6" s="362">
        <v>70</v>
      </c>
      <c r="E6" s="69">
        <v>179</v>
      </c>
      <c r="F6" s="69"/>
      <c r="G6" s="69">
        <v>96.5</v>
      </c>
      <c r="H6" s="69"/>
      <c r="I6" s="69"/>
      <c r="J6" s="69"/>
      <c r="K6" s="69"/>
      <c r="L6" s="69"/>
      <c r="M6" s="69"/>
      <c r="N6" s="69">
        <v>101.5</v>
      </c>
      <c r="O6" s="69">
        <v>12.5</v>
      </c>
      <c r="P6" s="69">
        <v>32.5</v>
      </c>
      <c r="Q6" s="69"/>
      <c r="R6" s="69"/>
      <c r="S6" s="69">
        <v>47.5</v>
      </c>
      <c r="T6" s="69">
        <v>55</v>
      </c>
      <c r="U6" s="69">
        <v>50</v>
      </c>
      <c r="V6" s="69">
        <v>42.5</v>
      </c>
      <c r="W6" s="69">
        <v>30</v>
      </c>
      <c r="X6" s="121"/>
      <c r="Y6" s="121"/>
      <c r="Z6" s="121">
        <v>76</v>
      </c>
      <c r="AA6" s="121"/>
      <c r="AB6" s="121">
        <v>35</v>
      </c>
      <c r="AC6" s="121"/>
      <c r="AD6" s="121"/>
      <c r="AE6" s="121"/>
      <c r="AF6" s="121"/>
      <c r="AG6" s="121">
        <v>98</v>
      </c>
      <c r="AH6" s="121"/>
      <c r="AI6" s="121"/>
      <c r="AJ6" s="121"/>
      <c r="AK6" s="121"/>
      <c r="AL6" s="121"/>
      <c r="AM6" s="121"/>
      <c r="AN6" s="121"/>
      <c r="AO6" s="121">
        <v>306.5</v>
      </c>
      <c r="AP6" s="121"/>
      <c r="AQ6" s="121"/>
      <c r="AR6" s="121"/>
      <c r="AS6" s="121"/>
      <c r="AT6" s="121"/>
      <c r="AU6" s="121"/>
      <c r="AV6" s="121"/>
      <c r="AW6" s="121"/>
      <c r="AX6" s="121">
        <v>35</v>
      </c>
      <c r="AY6" s="121"/>
      <c r="AZ6" s="121"/>
      <c r="BA6" s="121"/>
      <c r="BB6" s="121"/>
      <c r="BC6" s="121"/>
      <c r="BD6" s="121"/>
      <c r="BE6" s="152"/>
      <c r="BF6" s="152"/>
      <c r="BG6" s="152"/>
      <c r="BH6" s="152"/>
      <c r="BI6" s="152">
        <v>112</v>
      </c>
      <c r="BJ6" s="152"/>
      <c r="BK6" s="152"/>
      <c r="BL6" s="152"/>
      <c r="BM6" s="121">
        <v>212</v>
      </c>
      <c r="BN6" s="121"/>
      <c r="BO6" s="121"/>
      <c r="BP6" s="121"/>
      <c r="BQ6" s="121"/>
      <c r="BR6" s="355"/>
      <c r="BS6" s="144">
        <f>SUM(D6:BR6)</f>
        <v>1591.5</v>
      </c>
    </row>
    <row r="7" spans="1:71" x14ac:dyDescent="0.3">
      <c r="A7" s="124">
        <v>4</v>
      </c>
      <c r="B7" s="119" t="s">
        <v>251</v>
      </c>
      <c r="C7" s="365">
        <f>BS7</f>
        <v>1169</v>
      </c>
      <c r="D7" s="362">
        <v>97.5</v>
      </c>
      <c r="E7" s="69">
        <v>124</v>
      </c>
      <c r="F7" s="69"/>
      <c r="G7" s="69">
        <v>93</v>
      </c>
      <c r="H7" s="69"/>
      <c r="I7" s="69"/>
      <c r="J7" s="69"/>
      <c r="K7" s="69">
        <v>55</v>
      </c>
      <c r="L7" s="69"/>
      <c r="M7" s="69"/>
      <c r="N7" s="69">
        <v>96</v>
      </c>
      <c r="O7" s="69"/>
      <c r="P7" s="69"/>
      <c r="Q7" s="69"/>
      <c r="R7" s="69"/>
      <c r="S7" s="69">
        <v>110</v>
      </c>
      <c r="T7" s="69">
        <v>42.5</v>
      </c>
      <c r="U7" s="69"/>
      <c r="V7" s="69"/>
      <c r="W7" s="69">
        <v>80</v>
      </c>
      <c r="X7" s="121"/>
      <c r="Y7" s="121"/>
      <c r="Z7" s="121"/>
      <c r="AA7" s="121"/>
      <c r="AB7" s="121"/>
      <c r="AC7" s="121">
        <v>28</v>
      </c>
      <c r="AD7" s="121"/>
      <c r="AE7" s="121"/>
      <c r="AF7" s="121"/>
      <c r="AG7" s="121">
        <v>24</v>
      </c>
      <c r="AH7" s="121"/>
      <c r="AI7" s="121"/>
      <c r="AJ7" s="121"/>
      <c r="AK7" s="121"/>
      <c r="AL7" s="121"/>
      <c r="AM7" s="121"/>
      <c r="AN7" s="121"/>
      <c r="AO7" s="121">
        <v>148</v>
      </c>
      <c r="AP7" s="121"/>
      <c r="AQ7" s="121"/>
      <c r="AR7" s="121"/>
      <c r="AS7" s="121"/>
      <c r="AT7" s="121"/>
      <c r="AU7" s="121"/>
      <c r="AV7" s="121"/>
      <c r="AW7" s="121"/>
      <c r="AX7" s="121">
        <v>17.5</v>
      </c>
      <c r="AY7" s="121"/>
      <c r="AZ7" s="121"/>
      <c r="BA7" s="121"/>
      <c r="BB7" s="121"/>
      <c r="BC7" s="121"/>
      <c r="BD7" s="121"/>
      <c r="BE7" s="152"/>
      <c r="BF7" s="152"/>
      <c r="BG7" s="152"/>
      <c r="BH7" s="152"/>
      <c r="BI7" s="152">
        <v>49</v>
      </c>
      <c r="BJ7" s="152"/>
      <c r="BK7" s="152"/>
      <c r="BL7" s="152"/>
      <c r="BM7" s="121">
        <v>151</v>
      </c>
      <c r="BN7" s="121">
        <v>53.5</v>
      </c>
      <c r="BO7" s="121"/>
      <c r="BP7" s="121"/>
      <c r="BQ7" s="121"/>
      <c r="BR7" s="355"/>
      <c r="BS7" s="144">
        <f>SUM(D7:BR7)</f>
        <v>1169</v>
      </c>
    </row>
    <row r="8" spans="1:71" x14ac:dyDescent="0.3">
      <c r="A8" s="131">
        <v>5</v>
      </c>
      <c r="B8" s="119" t="s">
        <v>286</v>
      </c>
      <c r="C8" s="365">
        <f>BS8</f>
        <v>1166</v>
      </c>
      <c r="D8" s="363"/>
      <c r="E8" s="64"/>
      <c r="F8" s="64"/>
      <c r="G8" s="64"/>
      <c r="H8" s="69"/>
      <c r="I8" s="69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21">
        <v>157.5</v>
      </c>
      <c r="Y8" s="121">
        <v>70</v>
      </c>
      <c r="Z8" s="121"/>
      <c r="AA8" s="121"/>
      <c r="AB8" s="121"/>
      <c r="AC8" s="121"/>
      <c r="AD8" s="121"/>
      <c r="AE8" s="121">
        <v>13.5</v>
      </c>
      <c r="AF8" s="121">
        <v>38.5</v>
      </c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>
        <v>80.5</v>
      </c>
      <c r="BD8" s="121"/>
      <c r="BE8" s="152"/>
      <c r="BF8" s="152">
        <v>131.5</v>
      </c>
      <c r="BG8" s="152"/>
      <c r="BH8" s="152"/>
      <c r="BI8" s="152"/>
      <c r="BJ8" s="152"/>
      <c r="BK8" s="152">
        <v>36.5</v>
      </c>
      <c r="BL8" s="152"/>
      <c r="BM8" s="121">
        <v>121.5</v>
      </c>
      <c r="BN8" s="121">
        <v>192.5</v>
      </c>
      <c r="BO8" s="121">
        <v>121.5</v>
      </c>
      <c r="BP8" s="121">
        <v>202.5</v>
      </c>
      <c r="BQ8" s="121"/>
      <c r="BR8" s="355"/>
      <c r="BS8" s="144">
        <f>SUM(D8:BR8)</f>
        <v>1166</v>
      </c>
    </row>
    <row r="9" spans="1:71" x14ac:dyDescent="0.3">
      <c r="A9" s="124">
        <v>6</v>
      </c>
      <c r="B9" s="119" t="s">
        <v>197</v>
      </c>
      <c r="C9" s="365">
        <f>BS9</f>
        <v>899</v>
      </c>
      <c r="D9" s="362">
        <v>55</v>
      </c>
      <c r="E9" s="69"/>
      <c r="F9" s="69"/>
      <c r="G9" s="69"/>
      <c r="H9" s="69"/>
      <c r="I9" s="69"/>
      <c r="J9" s="69"/>
      <c r="K9" s="69">
        <v>60</v>
      </c>
      <c r="L9" s="69"/>
      <c r="M9" s="69">
        <v>25</v>
      </c>
      <c r="N9" s="69">
        <v>92</v>
      </c>
      <c r="O9" s="69"/>
      <c r="P9" s="69">
        <v>75</v>
      </c>
      <c r="Q9" s="69"/>
      <c r="R9" s="69"/>
      <c r="S9" s="69">
        <v>132.5</v>
      </c>
      <c r="T9" s="69"/>
      <c r="U9" s="69"/>
      <c r="V9" s="69"/>
      <c r="W9" s="69"/>
      <c r="X9" s="121"/>
      <c r="Y9" s="121"/>
      <c r="Z9" s="121"/>
      <c r="AA9" s="121">
        <v>101.5</v>
      </c>
      <c r="AB9" s="121">
        <v>80</v>
      </c>
      <c r="AC9" s="121"/>
      <c r="AD9" s="121"/>
      <c r="AE9" s="121"/>
      <c r="AF9" s="121"/>
      <c r="AG9" s="121">
        <v>86</v>
      </c>
      <c r="AH9" s="121"/>
      <c r="AI9" s="121"/>
      <c r="AJ9" s="121"/>
      <c r="AK9" s="121"/>
      <c r="AL9" s="121"/>
      <c r="AM9" s="121"/>
      <c r="AN9" s="121">
        <v>55</v>
      </c>
      <c r="AO9" s="121"/>
      <c r="AP9" s="121"/>
      <c r="AQ9" s="121"/>
      <c r="AR9" s="121">
        <v>45</v>
      </c>
      <c r="AS9" s="121">
        <v>4.5</v>
      </c>
      <c r="AT9" s="121"/>
      <c r="AU9" s="121"/>
      <c r="AV9" s="121"/>
      <c r="AW9" s="121"/>
      <c r="AX9" s="121">
        <v>84</v>
      </c>
      <c r="AY9" s="121"/>
      <c r="AZ9" s="121"/>
      <c r="BA9" s="121"/>
      <c r="BB9" s="121"/>
      <c r="BC9" s="121"/>
      <c r="BD9" s="121"/>
      <c r="BE9" s="152"/>
      <c r="BF9" s="152"/>
      <c r="BG9" s="152"/>
      <c r="BH9" s="152"/>
      <c r="BI9" s="152">
        <v>3.5</v>
      </c>
      <c r="BJ9" s="152"/>
      <c r="BK9" s="152"/>
      <c r="BL9" s="152"/>
      <c r="BM9" s="121"/>
      <c r="BN9" s="121"/>
      <c r="BO9" s="121"/>
      <c r="BP9" s="121"/>
      <c r="BQ9" s="121"/>
      <c r="BR9" s="355"/>
      <c r="BS9" s="144">
        <f>SUM(D9:BR9)</f>
        <v>899</v>
      </c>
    </row>
    <row r="10" spans="1:71" x14ac:dyDescent="0.3">
      <c r="A10" s="131">
        <v>7</v>
      </c>
      <c r="B10" s="159" t="s">
        <v>198</v>
      </c>
      <c r="C10" s="365">
        <f>BS10</f>
        <v>876.5</v>
      </c>
      <c r="D10" s="362">
        <v>35</v>
      </c>
      <c r="E10" s="69"/>
      <c r="F10" s="69"/>
      <c r="G10" s="69">
        <v>2.5</v>
      </c>
      <c r="H10" s="69"/>
      <c r="I10" s="69"/>
      <c r="J10" s="69">
        <v>25</v>
      </c>
      <c r="K10" s="69">
        <v>10</v>
      </c>
      <c r="L10" s="69"/>
      <c r="M10" s="69"/>
      <c r="N10" s="69"/>
      <c r="O10" s="69"/>
      <c r="P10" s="69">
        <v>30</v>
      </c>
      <c r="Q10" s="69">
        <v>32.5</v>
      </c>
      <c r="R10" s="69"/>
      <c r="S10" s="69">
        <v>65</v>
      </c>
      <c r="T10" s="69"/>
      <c r="U10" s="69"/>
      <c r="V10" s="69">
        <v>67.5</v>
      </c>
      <c r="W10" s="69"/>
      <c r="X10" s="121"/>
      <c r="Y10" s="121"/>
      <c r="Z10" s="121"/>
      <c r="AA10" s="121"/>
      <c r="AB10" s="121">
        <v>98</v>
      </c>
      <c r="AC10" s="121">
        <v>147</v>
      </c>
      <c r="AD10" s="121"/>
      <c r="AE10" s="121"/>
      <c r="AF10" s="121"/>
      <c r="AG10" s="121"/>
      <c r="AH10" s="121"/>
      <c r="AI10" s="121"/>
      <c r="AJ10" s="121"/>
      <c r="AK10" s="121"/>
      <c r="AL10" s="121">
        <v>77</v>
      </c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>
        <v>7</v>
      </c>
      <c r="AX10" s="121">
        <v>21</v>
      </c>
      <c r="AY10" s="121"/>
      <c r="AZ10" s="121"/>
      <c r="BA10" s="121"/>
      <c r="BB10" s="121"/>
      <c r="BC10" s="121"/>
      <c r="BD10" s="121"/>
      <c r="BE10" s="152"/>
      <c r="BF10" s="152"/>
      <c r="BG10" s="152"/>
      <c r="BH10" s="152"/>
      <c r="BI10" s="152"/>
      <c r="BJ10" s="152"/>
      <c r="BK10" s="152"/>
      <c r="BL10" s="152"/>
      <c r="BM10" s="121">
        <v>112</v>
      </c>
      <c r="BN10" s="121">
        <v>87.5</v>
      </c>
      <c r="BO10" s="121"/>
      <c r="BP10" s="121"/>
      <c r="BQ10" s="121"/>
      <c r="BR10" s="355">
        <v>59.5</v>
      </c>
      <c r="BS10" s="144">
        <f>SUM(D10:BR10)</f>
        <v>876.5</v>
      </c>
    </row>
    <row r="11" spans="1:71" x14ac:dyDescent="0.3">
      <c r="A11" s="124">
        <v>8</v>
      </c>
      <c r="B11" s="119" t="s">
        <v>252</v>
      </c>
      <c r="C11" s="365">
        <f>BS11</f>
        <v>774</v>
      </c>
      <c r="D11" s="362">
        <v>32.5</v>
      </c>
      <c r="E11" s="69">
        <v>21</v>
      </c>
      <c r="F11" s="69"/>
      <c r="G11" s="69">
        <v>35</v>
      </c>
      <c r="H11" s="69"/>
      <c r="I11" s="69"/>
      <c r="J11" s="69"/>
      <c r="K11" s="69">
        <v>72.5</v>
      </c>
      <c r="L11" s="69"/>
      <c r="M11" s="69">
        <v>67.5</v>
      </c>
      <c r="N11" s="69">
        <v>76</v>
      </c>
      <c r="O11" s="69"/>
      <c r="P11" s="69">
        <v>60</v>
      </c>
      <c r="Q11" s="69"/>
      <c r="R11" s="69">
        <v>10</v>
      </c>
      <c r="S11" s="69">
        <v>108.5</v>
      </c>
      <c r="T11" s="69"/>
      <c r="U11" s="69"/>
      <c r="V11" s="69"/>
      <c r="W11" s="69"/>
      <c r="X11" s="121"/>
      <c r="Y11" s="121"/>
      <c r="Z11" s="121"/>
      <c r="AA11" s="121"/>
      <c r="AB11" s="121"/>
      <c r="AC11" s="121"/>
      <c r="AD11" s="121"/>
      <c r="AE11" s="121"/>
      <c r="AF11" s="121"/>
      <c r="AG11" s="121">
        <v>56.5</v>
      </c>
      <c r="AH11" s="121"/>
      <c r="AI11" s="121"/>
      <c r="AJ11" s="121"/>
      <c r="AK11" s="121"/>
      <c r="AL11" s="121">
        <v>70</v>
      </c>
      <c r="AM11" s="121"/>
      <c r="AN11" s="121"/>
      <c r="AO11" s="121">
        <v>66.5</v>
      </c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52"/>
      <c r="BF11" s="152"/>
      <c r="BG11" s="152"/>
      <c r="BH11" s="152"/>
      <c r="BI11" s="152"/>
      <c r="BJ11" s="152"/>
      <c r="BK11" s="152"/>
      <c r="BL11" s="152"/>
      <c r="BM11" s="121"/>
      <c r="BN11" s="121">
        <v>98</v>
      </c>
      <c r="BO11" s="121"/>
      <c r="BP11" s="121"/>
      <c r="BQ11" s="121"/>
      <c r="BR11" s="355"/>
      <c r="BS11" s="144">
        <f>SUM(D11:BR11)</f>
        <v>774</v>
      </c>
    </row>
    <row r="12" spans="1:71" x14ac:dyDescent="0.3">
      <c r="A12" s="131">
        <v>9</v>
      </c>
      <c r="B12" s="119" t="s">
        <v>253</v>
      </c>
      <c r="C12" s="365">
        <f>BS12</f>
        <v>743.5</v>
      </c>
      <c r="D12" s="362">
        <v>60</v>
      </c>
      <c r="E12" s="69">
        <v>57</v>
      </c>
      <c r="F12" s="69"/>
      <c r="G12" s="69"/>
      <c r="H12" s="69">
        <v>28</v>
      </c>
      <c r="I12" s="69"/>
      <c r="J12" s="69"/>
      <c r="K12" s="69">
        <v>57.5</v>
      </c>
      <c r="L12" s="69"/>
      <c r="M12" s="69">
        <v>85</v>
      </c>
      <c r="N12" s="69">
        <v>96</v>
      </c>
      <c r="O12" s="69">
        <v>22.5</v>
      </c>
      <c r="P12" s="69">
        <v>27.5</v>
      </c>
      <c r="Q12" s="69"/>
      <c r="R12" s="69">
        <v>25</v>
      </c>
      <c r="S12" s="69">
        <v>18</v>
      </c>
      <c r="T12" s="69">
        <v>32.5</v>
      </c>
      <c r="U12" s="69"/>
      <c r="V12" s="69">
        <v>72.5</v>
      </c>
      <c r="W12" s="69">
        <v>32.5</v>
      </c>
      <c r="X12" s="121"/>
      <c r="Y12" s="121"/>
      <c r="Z12" s="121"/>
      <c r="AA12" s="121"/>
      <c r="AB12" s="121"/>
      <c r="AC12" s="121">
        <v>31.5</v>
      </c>
      <c r="AD12" s="121"/>
      <c r="AE12" s="121"/>
      <c r="AF12" s="121"/>
      <c r="AG12" s="121">
        <v>45.5</v>
      </c>
      <c r="AH12" s="121"/>
      <c r="AI12" s="121"/>
      <c r="AJ12" s="121"/>
      <c r="AK12" s="121"/>
      <c r="AL12" s="121">
        <v>52.5</v>
      </c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52"/>
      <c r="BF12" s="152"/>
      <c r="BG12" s="152"/>
      <c r="BH12" s="152"/>
      <c r="BI12" s="152"/>
      <c r="BJ12" s="152"/>
      <c r="BK12" s="152"/>
      <c r="BL12" s="152"/>
      <c r="BM12" s="121"/>
      <c r="BN12" s="121"/>
      <c r="BO12" s="121"/>
      <c r="BP12" s="121"/>
      <c r="BQ12" s="121"/>
      <c r="BR12" s="355"/>
      <c r="BS12" s="144">
        <f>SUM(D12:BR12)</f>
        <v>743.5</v>
      </c>
    </row>
    <row r="13" spans="1:71" x14ac:dyDescent="0.3">
      <c r="A13" s="124">
        <v>10</v>
      </c>
      <c r="B13" s="119" t="s">
        <v>260</v>
      </c>
      <c r="C13" s="365">
        <f>BS13</f>
        <v>635.5</v>
      </c>
      <c r="D13" s="362">
        <v>17.5</v>
      </c>
      <c r="E13" s="69">
        <v>82.5</v>
      </c>
      <c r="F13" s="69"/>
      <c r="G13" s="69">
        <v>63</v>
      </c>
      <c r="H13" s="69"/>
      <c r="I13" s="69"/>
      <c r="J13" s="69"/>
      <c r="K13" s="69"/>
      <c r="L13" s="69"/>
      <c r="M13" s="69"/>
      <c r="N13" s="69">
        <v>51</v>
      </c>
      <c r="O13" s="69">
        <v>42.5</v>
      </c>
      <c r="P13" s="69"/>
      <c r="Q13" s="69"/>
      <c r="R13" s="69"/>
      <c r="S13" s="69">
        <v>100</v>
      </c>
      <c r="T13" s="69">
        <v>75</v>
      </c>
      <c r="U13" s="69"/>
      <c r="V13" s="69"/>
      <c r="W13" s="69"/>
      <c r="X13" s="121"/>
      <c r="Y13" s="121"/>
      <c r="Z13" s="121"/>
      <c r="AA13" s="121"/>
      <c r="AB13" s="121"/>
      <c r="AC13" s="121"/>
      <c r="AD13" s="121"/>
      <c r="AE13" s="121"/>
      <c r="AF13" s="121"/>
      <c r="AG13" s="121">
        <v>28</v>
      </c>
      <c r="AH13" s="121"/>
      <c r="AI13" s="121"/>
      <c r="AJ13" s="121"/>
      <c r="AK13" s="121"/>
      <c r="AL13" s="121">
        <v>108.5</v>
      </c>
      <c r="AM13" s="121"/>
      <c r="AN13" s="121"/>
      <c r="AO13" s="121">
        <v>19.5</v>
      </c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52"/>
      <c r="BF13" s="152"/>
      <c r="BG13" s="152"/>
      <c r="BH13" s="152"/>
      <c r="BI13" s="152"/>
      <c r="BJ13" s="152"/>
      <c r="BK13" s="152"/>
      <c r="BL13" s="152"/>
      <c r="BM13" s="121"/>
      <c r="BN13" s="121">
        <v>48</v>
      </c>
      <c r="BO13" s="121"/>
      <c r="BP13" s="121"/>
      <c r="BQ13" s="121"/>
      <c r="BR13" s="355"/>
      <c r="BS13" s="144">
        <f>SUM(D13:BR13)</f>
        <v>635.5</v>
      </c>
    </row>
    <row r="14" spans="1:71" x14ac:dyDescent="0.3">
      <c r="A14" s="131">
        <v>11</v>
      </c>
      <c r="B14" s="119" t="s">
        <v>259</v>
      </c>
      <c r="C14" s="365">
        <f>BS14</f>
        <v>415.5</v>
      </c>
      <c r="D14" s="362">
        <v>67.5</v>
      </c>
      <c r="E14" s="69"/>
      <c r="F14" s="69"/>
      <c r="G14" s="69">
        <v>7.5</v>
      </c>
      <c r="H14" s="69">
        <v>133</v>
      </c>
      <c r="I14" s="69"/>
      <c r="J14" s="69">
        <v>42.5</v>
      </c>
      <c r="K14" s="69">
        <v>32.5</v>
      </c>
      <c r="L14" s="69"/>
      <c r="M14" s="69">
        <v>12.5</v>
      </c>
      <c r="N14" s="69"/>
      <c r="O14" s="69"/>
      <c r="P14" s="69"/>
      <c r="Q14" s="69"/>
      <c r="R14" s="69"/>
      <c r="S14" s="69">
        <v>67.5</v>
      </c>
      <c r="T14" s="69"/>
      <c r="U14" s="69"/>
      <c r="V14" s="69"/>
      <c r="W14" s="69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>
        <v>52.5</v>
      </c>
      <c r="AX14" s="121"/>
      <c r="AY14" s="121"/>
      <c r="AZ14" s="121"/>
      <c r="BA14" s="121"/>
      <c r="BB14" s="121"/>
      <c r="BC14" s="121"/>
      <c r="BD14" s="121"/>
      <c r="BE14" s="152"/>
      <c r="BF14" s="152"/>
      <c r="BG14" s="152"/>
      <c r="BH14" s="152"/>
      <c r="BI14" s="152"/>
      <c r="BJ14" s="152"/>
      <c r="BK14" s="152"/>
      <c r="BL14" s="152"/>
      <c r="BM14" s="121"/>
      <c r="BN14" s="121"/>
      <c r="BO14" s="121"/>
      <c r="BP14" s="121"/>
      <c r="BQ14" s="121"/>
      <c r="BR14" s="355"/>
      <c r="BS14" s="144">
        <f>SUM(D14:BR14)</f>
        <v>415.5</v>
      </c>
    </row>
    <row r="15" spans="1:71" x14ac:dyDescent="0.3">
      <c r="A15" s="124">
        <v>12</v>
      </c>
      <c r="B15" s="119" t="s">
        <v>269</v>
      </c>
      <c r="C15" s="365">
        <f>BS15</f>
        <v>401.25</v>
      </c>
      <c r="D15" s="362"/>
      <c r="E15" s="69"/>
      <c r="F15" s="69"/>
      <c r="G15" s="69"/>
      <c r="H15" s="69"/>
      <c r="I15" s="69"/>
      <c r="J15" s="69"/>
      <c r="K15" s="69">
        <v>37.5</v>
      </c>
      <c r="L15" s="69"/>
      <c r="M15" s="69">
        <v>110</v>
      </c>
      <c r="N15" s="69"/>
      <c r="O15" s="69">
        <v>62.5</v>
      </c>
      <c r="P15" s="69">
        <v>42.5</v>
      </c>
      <c r="Q15" s="69"/>
      <c r="R15" s="69"/>
      <c r="S15" s="69"/>
      <c r="T15" s="69"/>
      <c r="U15" s="69"/>
      <c r="V15" s="69"/>
      <c r="W15" s="69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52"/>
      <c r="BF15" s="152"/>
      <c r="BG15" s="152"/>
      <c r="BH15" s="152"/>
      <c r="BI15" s="152"/>
      <c r="BJ15" s="152"/>
      <c r="BK15" s="152"/>
      <c r="BL15" s="152"/>
      <c r="BM15" s="200">
        <v>148.75</v>
      </c>
      <c r="BN15" s="121"/>
      <c r="BO15" s="121"/>
      <c r="BP15" s="121"/>
      <c r="BQ15" s="121"/>
      <c r="BR15" s="355"/>
      <c r="BS15" s="144">
        <f>SUM(D15:BR15)</f>
        <v>401.25</v>
      </c>
    </row>
    <row r="16" spans="1:71" x14ac:dyDescent="0.3">
      <c r="A16" s="131">
        <v>13</v>
      </c>
      <c r="B16" s="119" t="s">
        <v>256</v>
      </c>
      <c r="C16" s="365">
        <f>BS16</f>
        <v>372</v>
      </c>
      <c r="D16" s="362">
        <v>77.5</v>
      </c>
      <c r="E16" s="69">
        <v>112.5</v>
      </c>
      <c r="F16" s="69"/>
      <c r="G16" s="69">
        <v>59.5</v>
      </c>
      <c r="H16" s="69"/>
      <c r="I16" s="69"/>
      <c r="J16" s="69"/>
      <c r="K16" s="69">
        <v>60</v>
      </c>
      <c r="L16" s="69"/>
      <c r="M16" s="69"/>
      <c r="N16" s="69"/>
      <c r="O16" s="69"/>
      <c r="P16" s="69"/>
      <c r="Q16" s="69"/>
      <c r="R16" s="69"/>
      <c r="S16" s="69">
        <v>5</v>
      </c>
      <c r="T16" s="69">
        <v>57.5</v>
      </c>
      <c r="U16" s="69"/>
      <c r="V16" s="69"/>
      <c r="W16" s="69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52"/>
      <c r="BF16" s="152"/>
      <c r="BG16" s="152"/>
      <c r="BH16" s="152"/>
      <c r="BI16" s="152"/>
      <c r="BJ16" s="152"/>
      <c r="BK16" s="152"/>
      <c r="BL16" s="152"/>
      <c r="BM16" s="121"/>
      <c r="BN16" s="121"/>
      <c r="BO16" s="121"/>
      <c r="BP16" s="121"/>
      <c r="BQ16" s="121"/>
      <c r="BR16" s="355"/>
      <c r="BS16" s="144">
        <f>SUM(D16:BR16)</f>
        <v>372</v>
      </c>
    </row>
    <row r="17" spans="1:82" x14ac:dyDescent="0.3">
      <c r="A17" s="124">
        <v>14</v>
      </c>
      <c r="B17" s="119" t="s">
        <v>270</v>
      </c>
      <c r="C17" s="365">
        <f>BS17</f>
        <v>345.5</v>
      </c>
      <c r="D17" s="362"/>
      <c r="E17" s="69"/>
      <c r="F17" s="69"/>
      <c r="G17" s="69"/>
      <c r="H17" s="69"/>
      <c r="I17" s="69"/>
      <c r="J17" s="69"/>
      <c r="K17" s="69">
        <v>22.5</v>
      </c>
      <c r="L17" s="69"/>
      <c r="M17" s="69"/>
      <c r="N17" s="69"/>
      <c r="O17" s="69">
        <v>57.5</v>
      </c>
      <c r="P17" s="69"/>
      <c r="Q17" s="69"/>
      <c r="R17" s="69"/>
      <c r="S17" s="69">
        <v>75</v>
      </c>
      <c r="T17" s="69"/>
      <c r="U17" s="69">
        <v>37.5</v>
      </c>
      <c r="V17" s="69">
        <v>45</v>
      </c>
      <c r="W17" s="69">
        <v>62.5</v>
      </c>
      <c r="X17" s="121"/>
      <c r="Y17" s="121"/>
      <c r="Z17" s="121"/>
      <c r="AA17" s="121"/>
      <c r="AB17" s="121"/>
      <c r="AC17" s="121"/>
      <c r="AD17" s="121"/>
      <c r="AE17" s="121"/>
      <c r="AF17" s="121"/>
      <c r="AG17" s="121">
        <v>45.5</v>
      </c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52"/>
      <c r="BF17" s="152"/>
      <c r="BG17" s="152"/>
      <c r="BH17" s="152"/>
      <c r="BI17" s="152"/>
      <c r="BJ17" s="152"/>
      <c r="BK17" s="152"/>
      <c r="BL17" s="152"/>
      <c r="BM17" s="121"/>
      <c r="BN17" s="121"/>
      <c r="BO17" s="121"/>
      <c r="BP17" s="121"/>
      <c r="BQ17" s="121"/>
      <c r="BR17" s="355"/>
      <c r="BS17" s="144">
        <f>SUM(D17:BR17)</f>
        <v>345.5</v>
      </c>
    </row>
    <row r="18" spans="1:82" x14ac:dyDescent="0.3">
      <c r="A18" s="131">
        <v>15</v>
      </c>
      <c r="B18" s="119" t="s">
        <v>265</v>
      </c>
      <c r="C18" s="365">
        <f>BS18</f>
        <v>336.5</v>
      </c>
      <c r="D18" s="362"/>
      <c r="E18" s="69"/>
      <c r="F18" s="69">
        <v>15</v>
      </c>
      <c r="G18" s="115">
        <v>47.5</v>
      </c>
      <c r="H18" s="115">
        <v>84</v>
      </c>
      <c r="I18" s="115"/>
      <c r="J18" s="115"/>
      <c r="K18" s="115"/>
      <c r="L18" s="115">
        <v>10</v>
      </c>
      <c r="M18" s="115"/>
      <c r="N18" s="69"/>
      <c r="O18" s="69">
        <v>82.5</v>
      </c>
      <c r="P18" s="69"/>
      <c r="Q18" s="69">
        <v>12.5</v>
      </c>
      <c r="R18" s="69"/>
      <c r="S18" s="69">
        <v>85</v>
      </c>
      <c r="T18" s="69"/>
      <c r="U18" s="69"/>
      <c r="V18" s="69"/>
      <c r="W18" s="69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52"/>
      <c r="BF18" s="152"/>
      <c r="BG18" s="152"/>
      <c r="BH18" s="152"/>
      <c r="BI18" s="152"/>
      <c r="BJ18" s="152"/>
      <c r="BK18" s="152"/>
      <c r="BL18" s="152"/>
      <c r="BM18" s="121"/>
      <c r="BN18" s="121"/>
      <c r="BO18" s="121"/>
      <c r="BP18" s="121"/>
      <c r="BQ18" s="121"/>
      <c r="BR18" s="355"/>
      <c r="BS18" s="144">
        <f>SUM(D18:BR18)</f>
        <v>336.5</v>
      </c>
    </row>
    <row r="19" spans="1:82" x14ac:dyDescent="0.3">
      <c r="A19" s="124">
        <v>16</v>
      </c>
      <c r="B19" s="119" t="s">
        <v>222</v>
      </c>
      <c r="C19" s="365">
        <f>BS19</f>
        <v>334.5</v>
      </c>
      <c r="D19" s="362"/>
      <c r="E19" s="69"/>
      <c r="F19" s="69"/>
      <c r="G19" s="115">
        <v>35</v>
      </c>
      <c r="H19" s="115"/>
      <c r="I19" s="115">
        <v>80.5</v>
      </c>
      <c r="J19" s="115">
        <v>7.5</v>
      </c>
      <c r="K19" s="115"/>
      <c r="L19" s="115"/>
      <c r="M19" s="115"/>
      <c r="N19" s="69"/>
      <c r="O19" s="69"/>
      <c r="P19" s="69"/>
      <c r="Q19" s="69"/>
      <c r="R19" s="69"/>
      <c r="S19" s="69"/>
      <c r="T19" s="69">
        <v>20</v>
      </c>
      <c r="U19" s="69">
        <v>55</v>
      </c>
      <c r="V19" s="69"/>
      <c r="W19" s="69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>
        <v>42</v>
      </c>
      <c r="AX19" s="121"/>
      <c r="AY19" s="121"/>
      <c r="AZ19" s="121"/>
      <c r="BA19" s="121"/>
      <c r="BB19" s="121"/>
      <c r="BC19" s="121"/>
      <c r="BD19" s="121"/>
      <c r="BE19" s="152"/>
      <c r="BF19" s="152"/>
      <c r="BG19" s="152"/>
      <c r="BH19" s="152"/>
      <c r="BI19" s="152"/>
      <c r="BJ19" s="152"/>
      <c r="BK19" s="152"/>
      <c r="BL19" s="152"/>
      <c r="BM19" s="121"/>
      <c r="BN19" s="121">
        <v>94.5</v>
      </c>
      <c r="BO19" s="121"/>
      <c r="BP19" s="121"/>
      <c r="BQ19" s="121"/>
      <c r="BR19" s="355"/>
      <c r="BS19" s="144">
        <f>SUM(D19:BR19)</f>
        <v>334.5</v>
      </c>
    </row>
    <row r="20" spans="1:82" x14ac:dyDescent="0.3">
      <c r="A20" s="131">
        <v>17</v>
      </c>
      <c r="B20" s="119" t="s">
        <v>258</v>
      </c>
      <c r="C20" s="365">
        <f>BS20</f>
        <v>319</v>
      </c>
      <c r="D20" s="362"/>
      <c r="E20" s="69"/>
      <c r="F20" s="69"/>
      <c r="G20" s="69">
        <v>30</v>
      </c>
      <c r="H20" s="69">
        <v>161</v>
      </c>
      <c r="I20" s="69"/>
      <c r="J20" s="69">
        <v>12.5</v>
      </c>
      <c r="K20" s="69"/>
      <c r="L20" s="69"/>
      <c r="M20" s="69"/>
      <c r="N20" s="69"/>
      <c r="O20" s="69"/>
      <c r="P20" s="69"/>
      <c r="Q20" s="69">
        <v>2.5</v>
      </c>
      <c r="R20" s="69"/>
      <c r="S20" s="69">
        <v>15</v>
      </c>
      <c r="T20" s="69"/>
      <c r="U20" s="69"/>
      <c r="V20" s="69"/>
      <c r="W20" s="69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52"/>
      <c r="BF20" s="152"/>
      <c r="BG20" s="152"/>
      <c r="BH20" s="152"/>
      <c r="BI20" s="152"/>
      <c r="BJ20" s="152"/>
      <c r="BK20" s="152"/>
      <c r="BL20" s="152"/>
      <c r="BM20" s="121"/>
      <c r="BN20" s="121">
        <v>98</v>
      </c>
      <c r="BO20" s="121"/>
      <c r="BP20" s="121"/>
      <c r="BQ20" s="121"/>
      <c r="BR20" s="355"/>
      <c r="BS20" s="144">
        <f>SUM(D20:BR20)</f>
        <v>319</v>
      </c>
    </row>
    <row r="21" spans="1:82" x14ac:dyDescent="0.3">
      <c r="A21" s="124">
        <v>18</v>
      </c>
      <c r="B21" s="119" t="s">
        <v>254</v>
      </c>
      <c r="C21" s="365">
        <f>BS21</f>
        <v>311.5</v>
      </c>
      <c r="D21" s="362"/>
      <c r="E21" s="69"/>
      <c r="F21" s="69"/>
      <c r="G21" s="69">
        <v>12.5</v>
      </c>
      <c r="H21" s="69"/>
      <c r="I21" s="69"/>
      <c r="J21" s="69"/>
      <c r="K21" s="69">
        <v>67.5</v>
      </c>
      <c r="L21" s="69"/>
      <c r="M21" s="69">
        <v>25</v>
      </c>
      <c r="N21" s="69">
        <v>60</v>
      </c>
      <c r="O21" s="69">
        <v>35</v>
      </c>
      <c r="P21" s="69">
        <v>37.5</v>
      </c>
      <c r="Q21" s="69"/>
      <c r="R21" s="69"/>
      <c r="S21" s="69">
        <v>51.5</v>
      </c>
      <c r="T21" s="69">
        <v>22.5</v>
      </c>
      <c r="U21" s="69"/>
      <c r="V21" s="69"/>
      <c r="W21" s="69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52"/>
      <c r="BF21" s="152"/>
      <c r="BG21" s="152"/>
      <c r="BH21" s="152"/>
      <c r="BI21" s="152"/>
      <c r="BJ21" s="152"/>
      <c r="BK21" s="152"/>
      <c r="BL21" s="152"/>
      <c r="BM21" s="121"/>
      <c r="BN21" s="121"/>
      <c r="BO21" s="121"/>
      <c r="BP21" s="121"/>
      <c r="BQ21" s="121"/>
      <c r="BR21" s="355"/>
      <c r="BS21" s="144">
        <f>SUM(D21:BR21)</f>
        <v>311.5</v>
      </c>
    </row>
    <row r="22" spans="1:82" x14ac:dyDescent="0.3">
      <c r="A22" s="131">
        <v>19</v>
      </c>
      <c r="B22" s="119" t="s">
        <v>255</v>
      </c>
      <c r="C22" s="365">
        <f>BS22</f>
        <v>266</v>
      </c>
      <c r="D22" s="362"/>
      <c r="E22" s="69"/>
      <c r="F22" s="69"/>
      <c r="G22" s="69">
        <v>30</v>
      </c>
      <c r="H22" s="69"/>
      <c r="I22" s="69">
        <v>56</v>
      </c>
      <c r="J22" s="69"/>
      <c r="K22" s="69"/>
      <c r="L22" s="69"/>
      <c r="M22" s="69">
        <v>47.5</v>
      </c>
      <c r="N22" s="69">
        <v>46.5</v>
      </c>
      <c r="O22" s="69"/>
      <c r="P22" s="69"/>
      <c r="Q22" s="69"/>
      <c r="R22" s="69"/>
      <c r="S22" s="69"/>
      <c r="T22" s="69">
        <v>30</v>
      </c>
      <c r="U22" s="69"/>
      <c r="V22" s="69"/>
      <c r="W22" s="69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52"/>
      <c r="BF22" s="152"/>
      <c r="BG22" s="152"/>
      <c r="BH22" s="152"/>
      <c r="BI22" s="152"/>
      <c r="BJ22" s="152"/>
      <c r="BK22" s="152"/>
      <c r="BL22" s="152"/>
      <c r="BM22" s="121">
        <v>56</v>
      </c>
      <c r="BN22" s="121"/>
      <c r="BO22" s="121"/>
      <c r="BP22" s="121"/>
      <c r="BQ22" s="121"/>
      <c r="BR22" s="355"/>
      <c r="BS22" s="144">
        <f>SUM(D22:BR22)</f>
        <v>266</v>
      </c>
    </row>
    <row r="23" spans="1:82" x14ac:dyDescent="0.3">
      <c r="A23" s="124">
        <v>20</v>
      </c>
      <c r="B23" s="159" t="s">
        <v>263</v>
      </c>
      <c r="C23" s="365">
        <f>BS23</f>
        <v>248</v>
      </c>
      <c r="D23" s="362"/>
      <c r="E23" s="69"/>
      <c r="F23" s="69"/>
      <c r="G23" s="69"/>
      <c r="H23" s="69">
        <v>80.5</v>
      </c>
      <c r="I23" s="69"/>
      <c r="J23" s="69">
        <v>35</v>
      </c>
      <c r="K23" s="69">
        <v>17.5</v>
      </c>
      <c r="L23" s="69"/>
      <c r="M23" s="69">
        <v>70</v>
      </c>
      <c r="N23" s="69"/>
      <c r="O23" s="69"/>
      <c r="P23" s="69">
        <v>2.5</v>
      </c>
      <c r="Q23" s="69"/>
      <c r="R23" s="69"/>
      <c r="S23" s="69">
        <v>7.5</v>
      </c>
      <c r="T23" s="69">
        <v>2.5</v>
      </c>
      <c r="U23" s="69"/>
      <c r="V23" s="69"/>
      <c r="W23" s="69">
        <v>32.5</v>
      </c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52"/>
      <c r="BF23" s="152"/>
      <c r="BG23" s="152"/>
      <c r="BH23" s="152"/>
      <c r="BI23" s="152"/>
      <c r="BJ23" s="152"/>
      <c r="BK23" s="152"/>
      <c r="BL23" s="152"/>
      <c r="BM23" s="121"/>
      <c r="BN23" s="121"/>
      <c r="BO23" s="121"/>
      <c r="BP23" s="121"/>
      <c r="BQ23" s="121"/>
      <c r="BR23" s="355"/>
      <c r="BS23" s="144">
        <f>SUM(D23:BR23)</f>
        <v>248</v>
      </c>
    </row>
    <row r="24" spans="1:82" x14ac:dyDescent="0.3">
      <c r="A24" s="131">
        <v>21</v>
      </c>
      <c r="B24" s="119" t="s">
        <v>257</v>
      </c>
      <c r="C24" s="365">
        <f>BS24</f>
        <v>215.5</v>
      </c>
      <c r="D24" s="362"/>
      <c r="E24" s="69"/>
      <c r="F24" s="69"/>
      <c r="G24" s="69">
        <v>54</v>
      </c>
      <c r="H24" s="69"/>
      <c r="I24" s="69"/>
      <c r="J24" s="69"/>
      <c r="K24" s="69"/>
      <c r="L24" s="69"/>
      <c r="M24" s="69"/>
      <c r="N24" s="69">
        <v>3.5</v>
      </c>
      <c r="O24" s="69"/>
      <c r="P24" s="69"/>
      <c r="Q24" s="69"/>
      <c r="R24" s="69"/>
      <c r="S24" s="69">
        <v>65</v>
      </c>
      <c r="T24" s="69">
        <v>30</v>
      </c>
      <c r="U24" s="69"/>
      <c r="V24" s="69"/>
      <c r="W24" s="69"/>
      <c r="X24" s="121"/>
      <c r="Y24" s="121"/>
      <c r="Z24" s="121"/>
      <c r="AA24" s="121"/>
      <c r="AB24" s="121"/>
      <c r="AC24" s="121"/>
      <c r="AD24" s="121"/>
      <c r="AE24" s="121"/>
      <c r="AF24" s="121"/>
      <c r="AG24" s="121">
        <v>21</v>
      </c>
      <c r="AH24" s="121"/>
      <c r="AI24" s="121"/>
      <c r="AJ24" s="121"/>
      <c r="AK24" s="121"/>
      <c r="AL24" s="121">
        <v>28</v>
      </c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52"/>
      <c r="BF24" s="152"/>
      <c r="BG24" s="152"/>
      <c r="BH24" s="152"/>
      <c r="BI24" s="152"/>
      <c r="BJ24" s="152"/>
      <c r="BK24" s="152"/>
      <c r="BL24" s="152"/>
      <c r="BM24" s="121"/>
      <c r="BN24" s="121">
        <v>14</v>
      </c>
      <c r="BO24" s="121"/>
      <c r="BP24" s="121"/>
      <c r="BQ24" s="121"/>
      <c r="BR24" s="355"/>
      <c r="BS24" s="144">
        <f>SUM(D24:BR24)</f>
        <v>215.5</v>
      </c>
    </row>
    <row r="25" spans="1:82" x14ac:dyDescent="0.3">
      <c r="A25" s="124">
        <v>22</v>
      </c>
      <c r="B25" s="119" t="s">
        <v>285</v>
      </c>
      <c r="C25" s="365">
        <f>BS25</f>
        <v>208</v>
      </c>
      <c r="D25" s="362"/>
      <c r="E25" s="69"/>
      <c r="F25" s="69"/>
      <c r="G25" s="69"/>
      <c r="H25" s="69"/>
      <c r="I25" s="69">
        <v>35</v>
      </c>
      <c r="J25" s="69"/>
      <c r="K25" s="69"/>
      <c r="L25" s="69"/>
      <c r="M25" s="69">
        <v>22.5</v>
      </c>
      <c r="N25" s="69"/>
      <c r="O25" s="69"/>
      <c r="P25" s="69"/>
      <c r="Q25" s="69"/>
      <c r="R25" s="69"/>
      <c r="S25" s="69">
        <v>52.5</v>
      </c>
      <c r="T25" s="69"/>
      <c r="U25" s="69"/>
      <c r="V25" s="69"/>
      <c r="W25" s="69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52"/>
      <c r="BF25" s="152"/>
      <c r="BG25" s="152"/>
      <c r="BH25" s="152"/>
      <c r="BI25" s="152"/>
      <c r="BJ25" s="152"/>
      <c r="BK25" s="152"/>
      <c r="BL25" s="152"/>
      <c r="BM25" s="121">
        <v>59.5</v>
      </c>
      <c r="BN25" s="121">
        <v>38.5</v>
      </c>
      <c r="BO25" s="121"/>
      <c r="BP25" s="121"/>
      <c r="BQ25" s="121"/>
      <c r="BR25" s="355"/>
      <c r="BS25" s="144">
        <f>SUM(D25:BR25)</f>
        <v>208</v>
      </c>
    </row>
    <row r="26" spans="1:82" ht="15" thickBot="1" x14ac:dyDescent="0.35">
      <c r="A26" s="131">
        <v>23</v>
      </c>
      <c r="B26" s="159" t="s">
        <v>287</v>
      </c>
      <c r="C26" s="365">
        <f>BS26</f>
        <v>189</v>
      </c>
      <c r="D26" s="362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>
        <v>55</v>
      </c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52"/>
      <c r="BF26" s="152"/>
      <c r="BG26" s="152"/>
      <c r="BH26" s="152"/>
      <c r="BI26" s="152"/>
      <c r="BJ26" s="152"/>
      <c r="BK26" s="152"/>
      <c r="BL26" s="152"/>
      <c r="BM26" s="121"/>
      <c r="BN26" s="121">
        <v>134</v>
      </c>
      <c r="BO26" s="121"/>
      <c r="BP26" s="121"/>
      <c r="BQ26" s="121"/>
      <c r="BR26" s="355"/>
      <c r="BS26" s="144">
        <f>SUM(D26:BR26)</f>
        <v>189</v>
      </c>
    </row>
    <row r="27" spans="1:82" ht="15" thickBot="1" x14ac:dyDescent="0.35">
      <c r="A27" s="124">
        <v>24</v>
      </c>
      <c r="B27" s="119" t="s">
        <v>278</v>
      </c>
      <c r="C27" s="365">
        <f>BS27</f>
        <v>175.5</v>
      </c>
      <c r="D27" s="362"/>
      <c r="E27" s="69"/>
      <c r="F27" s="69"/>
      <c r="G27" s="69"/>
      <c r="H27" s="69"/>
      <c r="I27" s="69"/>
      <c r="J27" s="69"/>
      <c r="K27" s="69"/>
      <c r="L27" s="69">
        <v>2.5</v>
      </c>
      <c r="M27" s="69"/>
      <c r="N27" s="69"/>
      <c r="O27" s="69"/>
      <c r="P27" s="69"/>
      <c r="Q27" s="69">
        <v>20</v>
      </c>
      <c r="R27" s="69"/>
      <c r="S27" s="69">
        <v>36</v>
      </c>
      <c r="T27" s="69"/>
      <c r="U27" s="69"/>
      <c r="V27" s="69"/>
      <c r="W27" s="69"/>
      <c r="X27" s="121"/>
      <c r="Y27" s="121"/>
      <c r="Z27" s="121"/>
      <c r="AA27" s="121"/>
      <c r="AB27" s="121"/>
      <c r="AC27" s="121"/>
      <c r="AD27" s="121"/>
      <c r="AE27" s="121"/>
      <c r="AF27" s="121"/>
      <c r="AG27" s="121">
        <v>50.5</v>
      </c>
      <c r="AH27" s="121"/>
      <c r="AI27" s="121"/>
      <c r="AJ27" s="121"/>
      <c r="AK27" s="121"/>
      <c r="AL27" s="121">
        <v>66.5</v>
      </c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52"/>
      <c r="BF27" s="152"/>
      <c r="BG27" s="152"/>
      <c r="BH27" s="152"/>
      <c r="BI27" s="152"/>
      <c r="BJ27" s="152"/>
      <c r="BK27" s="152"/>
      <c r="BL27" s="152"/>
      <c r="BM27" s="121"/>
      <c r="BN27" s="121"/>
      <c r="BO27" s="121"/>
      <c r="BP27" s="121"/>
      <c r="BQ27" s="121"/>
      <c r="BR27" s="355"/>
      <c r="BS27" s="144">
        <f>SUM(D27:BR27)</f>
        <v>175.5</v>
      </c>
      <c r="BW27" s="57" t="s">
        <v>45</v>
      </c>
      <c r="BX27" s="262" t="s">
        <v>46</v>
      </c>
      <c r="BY27" s="262"/>
      <c r="BZ27" s="262"/>
      <c r="CA27" s="262"/>
      <c r="CB27" s="262"/>
      <c r="CC27" s="262" t="s">
        <v>74</v>
      </c>
      <c r="CD27" s="263"/>
    </row>
    <row r="28" spans="1:82" x14ac:dyDescent="0.3">
      <c r="A28" s="131">
        <v>25</v>
      </c>
      <c r="B28" s="119" t="s">
        <v>327</v>
      </c>
      <c r="C28" s="365">
        <f>BS28</f>
        <v>157.5</v>
      </c>
      <c r="D28" s="363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21"/>
      <c r="AL28" s="121"/>
      <c r="AM28" s="121">
        <v>129.5</v>
      </c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>
        <v>7</v>
      </c>
      <c r="BE28" s="152"/>
      <c r="BF28" s="152"/>
      <c r="BG28" s="152">
        <v>21</v>
      </c>
      <c r="BH28" s="152"/>
      <c r="BI28" s="152"/>
      <c r="BJ28" s="152"/>
      <c r="BK28" s="152"/>
      <c r="BL28" s="152"/>
      <c r="BM28" s="121"/>
      <c r="BN28" s="121"/>
      <c r="BO28" s="121"/>
      <c r="BP28" s="121"/>
      <c r="BQ28" s="121"/>
      <c r="BR28" s="355"/>
      <c r="BS28" s="144">
        <f>SUM(D28:BR28)</f>
        <v>157.5</v>
      </c>
      <c r="BV28" s="134"/>
      <c r="BW28" s="85">
        <v>1</v>
      </c>
      <c r="BX28" s="271" t="s">
        <v>47</v>
      </c>
      <c r="BY28" s="272"/>
      <c r="BZ28" s="272"/>
      <c r="CA28" s="272"/>
      <c r="CB28" s="273"/>
      <c r="CC28" s="264" t="s">
        <v>58</v>
      </c>
      <c r="CD28" s="265"/>
    </row>
    <row r="29" spans="1:82" x14ac:dyDescent="0.3">
      <c r="A29" s="124">
        <v>26</v>
      </c>
      <c r="B29" s="119" t="s">
        <v>267</v>
      </c>
      <c r="C29" s="365">
        <f>BS29</f>
        <v>157.5</v>
      </c>
      <c r="D29" s="362"/>
      <c r="E29" s="69"/>
      <c r="F29" s="69"/>
      <c r="G29" s="69"/>
      <c r="H29" s="69"/>
      <c r="I29" s="69"/>
      <c r="J29" s="69">
        <v>47.5</v>
      </c>
      <c r="K29" s="69"/>
      <c r="L29" s="69"/>
      <c r="M29" s="69">
        <v>110</v>
      </c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52"/>
      <c r="BF29" s="152"/>
      <c r="BG29" s="152"/>
      <c r="BH29" s="152"/>
      <c r="BI29" s="152"/>
      <c r="BJ29" s="152"/>
      <c r="BK29" s="152"/>
      <c r="BL29" s="152"/>
      <c r="BM29" s="121"/>
      <c r="BN29" s="121"/>
      <c r="BO29" s="121"/>
      <c r="BP29" s="121"/>
      <c r="BQ29" s="121"/>
      <c r="BR29" s="355"/>
      <c r="BS29" s="144">
        <f>SUM(D29:BR29)</f>
        <v>157.5</v>
      </c>
      <c r="BV29" s="134"/>
      <c r="BW29" s="84">
        <v>2</v>
      </c>
      <c r="BX29" s="274" t="s">
        <v>48</v>
      </c>
      <c r="BY29" s="275"/>
      <c r="BZ29" s="275"/>
      <c r="CA29" s="275"/>
      <c r="CB29" s="276"/>
      <c r="CC29" s="266" t="s">
        <v>65</v>
      </c>
      <c r="CD29" s="267"/>
    </row>
    <row r="30" spans="1:82" x14ac:dyDescent="0.3">
      <c r="A30" s="131">
        <v>27</v>
      </c>
      <c r="B30" s="119" t="s">
        <v>199</v>
      </c>
      <c r="C30" s="365">
        <f>BS30</f>
        <v>146.5</v>
      </c>
      <c r="D30" s="362"/>
      <c r="E30" s="69"/>
      <c r="F30" s="69"/>
      <c r="G30" s="69">
        <v>15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>
        <v>22.5</v>
      </c>
      <c r="T30" s="69">
        <v>17.5</v>
      </c>
      <c r="U30" s="69"/>
      <c r="V30" s="69"/>
      <c r="W30" s="69">
        <v>7.5</v>
      </c>
      <c r="X30" s="121"/>
      <c r="Y30" s="121"/>
      <c r="Z30" s="121"/>
      <c r="AA30" s="121"/>
      <c r="AB30" s="121"/>
      <c r="AC30" s="121">
        <v>7</v>
      </c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>
        <v>14</v>
      </c>
      <c r="AY30" s="121"/>
      <c r="AZ30" s="121"/>
      <c r="BA30" s="121"/>
      <c r="BB30" s="121"/>
      <c r="BC30" s="121"/>
      <c r="BD30" s="121"/>
      <c r="BE30" s="152"/>
      <c r="BF30" s="152"/>
      <c r="BG30" s="152"/>
      <c r="BH30" s="152"/>
      <c r="BI30" s="152"/>
      <c r="BJ30" s="152"/>
      <c r="BK30" s="152"/>
      <c r="BL30" s="152"/>
      <c r="BM30" s="121">
        <v>14</v>
      </c>
      <c r="BN30" s="121">
        <v>49</v>
      </c>
      <c r="BO30" s="121"/>
      <c r="BP30" s="121"/>
      <c r="BQ30" s="121"/>
      <c r="BR30" s="355"/>
      <c r="BS30" s="144">
        <f>SUM(D30:BR30)</f>
        <v>146.5</v>
      </c>
      <c r="BV30" s="134"/>
      <c r="BW30" s="85">
        <v>3</v>
      </c>
      <c r="BX30" s="259" t="s">
        <v>175</v>
      </c>
      <c r="BY30" s="260"/>
      <c r="BZ30" s="260"/>
      <c r="CA30" s="260"/>
      <c r="CB30" s="261"/>
      <c r="CC30" s="259" t="s">
        <v>176</v>
      </c>
      <c r="CD30" s="268"/>
    </row>
    <row r="31" spans="1:82" x14ac:dyDescent="0.3">
      <c r="A31" s="124">
        <v>28</v>
      </c>
      <c r="B31" s="119" t="s">
        <v>272</v>
      </c>
      <c r="C31" s="365">
        <f>BS31</f>
        <v>146.5</v>
      </c>
      <c r="D31" s="362"/>
      <c r="E31" s="69"/>
      <c r="F31" s="69"/>
      <c r="G31" s="69"/>
      <c r="H31" s="69">
        <v>38.5</v>
      </c>
      <c r="I31" s="69">
        <v>45.5</v>
      </c>
      <c r="J31" s="69"/>
      <c r="K31" s="69"/>
      <c r="L31" s="69"/>
      <c r="M31" s="69">
        <v>27.5</v>
      </c>
      <c r="N31" s="69"/>
      <c r="O31" s="69">
        <v>7.5</v>
      </c>
      <c r="P31" s="69"/>
      <c r="Q31" s="69"/>
      <c r="R31" s="69"/>
      <c r="S31" s="69">
        <v>27.5</v>
      </c>
      <c r="T31" s="69"/>
      <c r="U31" s="69"/>
      <c r="V31" s="69"/>
      <c r="W31" s="69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52"/>
      <c r="BF31" s="152"/>
      <c r="BG31" s="152"/>
      <c r="BH31" s="152"/>
      <c r="BI31" s="152"/>
      <c r="BJ31" s="152"/>
      <c r="BK31" s="152"/>
      <c r="BL31" s="152"/>
      <c r="BM31" s="121"/>
      <c r="BN31" s="121"/>
      <c r="BO31" s="121"/>
      <c r="BP31" s="121"/>
      <c r="BQ31" s="121"/>
      <c r="BR31" s="355"/>
      <c r="BS31" s="144">
        <f>SUM(D31:BR31)</f>
        <v>146.5</v>
      </c>
      <c r="BV31" s="134"/>
      <c r="BW31" s="84">
        <v>4</v>
      </c>
      <c r="BX31" s="259" t="s">
        <v>49</v>
      </c>
      <c r="BY31" s="260"/>
      <c r="BZ31" s="260"/>
      <c r="CA31" s="260"/>
      <c r="CB31" s="261"/>
      <c r="CC31" s="255" t="s">
        <v>66</v>
      </c>
      <c r="CD31" s="256"/>
    </row>
    <row r="32" spans="1:82" x14ac:dyDescent="0.3">
      <c r="A32" s="131">
        <v>29</v>
      </c>
      <c r="B32" s="119" t="s">
        <v>322</v>
      </c>
      <c r="C32" s="365">
        <f>BS32</f>
        <v>141.5</v>
      </c>
      <c r="D32" s="363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121">
        <v>38.5</v>
      </c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52"/>
      <c r="BF32" s="152"/>
      <c r="BG32" s="152"/>
      <c r="BH32" s="152"/>
      <c r="BI32" s="152"/>
      <c r="BJ32" s="152"/>
      <c r="BK32" s="152"/>
      <c r="BL32" s="152"/>
      <c r="BM32" s="121"/>
      <c r="BN32" s="121"/>
      <c r="BO32" s="121"/>
      <c r="BP32" s="121"/>
      <c r="BQ32" s="121">
        <v>103</v>
      </c>
      <c r="BR32" s="355"/>
      <c r="BS32" s="144">
        <f>SUM(D32:BR32)</f>
        <v>141.5</v>
      </c>
      <c r="BV32" s="134"/>
      <c r="BW32" s="85">
        <v>5</v>
      </c>
      <c r="BX32" s="259" t="s">
        <v>69</v>
      </c>
      <c r="BY32" s="260"/>
      <c r="BZ32" s="260"/>
      <c r="CA32" s="260"/>
      <c r="CB32" s="261"/>
      <c r="CC32" s="255" t="s">
        <v>375</v>
      </c>
      <c r="CD32" s="256"/>
    </row>
    <row r="33" spans="1:82" x14ac:dyDescent="0.3">
      <c r="A33" s="124">
        <v>30</v>
      </c>
      <c r="B33" s="159" t="s">
        <v>284</v>
      </c>
      <c r="C33" s="365">
        <f>BS33</f>
        <v>131</v>
      </c>
      <c r="D33" s="362"/>
      <c r="E33" s="69"/>
      <c r="F33" s="69">
        <v>7.5</v>
      </c>
      <c r="G33" s="69"/>
      <c r="H33" s="69">
        <v>108.5</v>
      </c>
      <c r="I33" s="69"/>
      <c r="J33" s="69"/>
      <c r="K33" s="69"/>
      <c r="L33" s="69"/>
      <c r="M33" s="69"/>
      <c r="N33" s="69"/>
      <c r="O33" s="69"/>
      <c r="P33" s="69"/>
      <c r="Q33" s="69">
        <v>15</v>
      </c>
      <c r="R33" s="69"/>
      <c r="S33" s="69"/>
      <c r="T33" s="69"/>
      <c r="U33" s="69"/>
      <c r="V33" s="69"/>
      <c r="W33" s="69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52"/>
      <c r="BF33" s="152"/>
      <c r="BG33" s="152"/>
      <c r="BH33" s="152"/>
      <c r="BI33" s="152"/>
      <c r="BJ33" s="152"/>
      <c r="BK33" s="152"/>
      <c r="BL33" s="152"/>
      <c r="BM33" s="121"/>
      <c r="BN33" s="121"/>
      <c r="BO33" s="121"/>
      <c r="BP33" s="121"/>
      <c r="BQ33" s="121"/>
      <c r="BR33" s="355"/>
      <c r="BS33" s="144">
        <f>SUM(D33:BR33)</f>
        <v>131</v>
      </c>
      <c r="BV33" s="134"/>
      <c r="BW33" s="84">
        <v>6</v>
      </c>
      <c r="BX33" s="259" t="s">
        <v>69</v>
      </c>
      <c r="BY33" s="260"/>
      <c r="BZ33" s="260"/>
      <c r="CA33" s="260"/>
      <c r="CB33" s="261"/>
      <c r="CC33" s="255" t="s">
        <v>376</v>
      </c>
      <c r="CD33" s="256"/>
    </row>
    <row r="34" spans="1:82" x14ac:dyDescent="0.3">
      <c r="A34" s="131">
        <v>31</v>
      </c>
      <c r="B34" s="119" t="s">
        <v>333</v>
      </c>
      <c r="C34" s="365">
        <f>BS34</f>
        <v>129.5</v>
      </c>
      <c r="D34" s="363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201"/>
      <c r="AJ34" s="201"/>
      <c r="AK34" s="201"/>
      <c r="AL34" s="201"/>
      <c r="AM34" s="201"/>
      <c r="AN34" s="201"/>
      <c r="AO34" s="201"/>
      <c r="AP34" s="121">
        <v>14</v>
      </c>
      <c r="AQ34" s="121"/>
      <c r="AR34" s="121">
        <v>45</v>
      </c>
      <c r="AS34" s="121"/>
      <c r="AT34" s="121"/>
      <c r="AU34" s="121"/>
      <c r="AV34" s="121"/>
      <c r="AW34" s="121"/>
      <c r="AX34" s="121"/>
      <c r="AY34" s="121"/>
      <c r="AZ34" s="121"/>
      <c r="BA34" s="121"/>
      <c r="BB34" s="121">
        <v>10.5</v>
      </c>
      <c r="BC34" s="121"/>
      <c r="BD34" s="121"/>
      <c r="BE34" s="152"/>
      <c r="BF34" s="152"/>
      <c r="BG34" s="152"/>
      <c r="BH34" s="152">
        <v>60</v>
      </c>
      <c r="BI34" s="152"/>
      <c r="BJ34" s="152"/>
      <c r="BK34" s="152"/>
      <c r="BL34" s="152"/>
      <c r="BM34" s="121"/>
      <c r="BN34" s="121"/>
      <c r="BO34" s="121"/>
      <c r="BP34" s="121"/>
      <c r="BQ34" s="121"/>
      <c r="BR34" s="355"/>
      <c r="BS34" s="144">
        <f>SUM(D34:BR34)</f>
        <v>129.5</v>
      </c>
      <c r="BV34" s="134"/>
      <c r="BW34" s="59">
        <v>7</v>
      </c>
      <c r="BX34" s="277" t="s">
        <v>50</v>
      </c>
      <c r="BY34" s="278"/>
      <c r="BZ34" s="278"/>
      <c r="CA34" s="278"/>
      <c r="CB34" s="279"/>
      <c r="CC34" s="269" t="s">
        <v>60</v>
      </c>
      <c r="CD34" s="270"/>
    </row>
    <row r="35" spans="1:82" x14ac:dyDescent="0.3">
      <c r="A35" s="124">
        <v>32</v>
      </c>
      <c r="B35" s="119" t="s">
        <v>266</v>
      </c>
      <c r="C35" s="365">
        <f>BS35</f>
        <v>75</v>
      </c>
      <c r="D35" s="362"/>
      <c r="E35" s="69">
        <v>10.5</v>
      </c>
      <c r="F35" s="69"/>
      <c r="G35" s="69">
        <v>37.5</v>
      </c>
      <c r="H35" s="69"/>
      <c r="I35" s="69">
        <v>24.5</v>
      </c>
      <c r="J35" s="69">
        <v>2.5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52"/>
      <c r="BF35" s="152"/>
      <c r="BG35" s="152"/>
      <c r="BH35" s="152"/>
      <c r="BI35" s="152"/>
      <c r="BJ35" s="152"/>
      <c r="BK35" s="152"/>
      <c r="BL35" s="152"/>
      <c r="BM35" s="121"/>
      <c r="BN35" s="121"/>
      <c r="BO35" s="121"/>
      <c r="BP35" s="121"/>
      <c r="BQ35" s="121"/>
      <c r="BR35" s="355"/>
      <c r="BS35" s="144">
        <f>SUM(D35:BR35)</f>
        <v>75</v>
      </c>
      <c r="BV35" s="134"/>
      <c r="BW35" s="84">
        <v>8</v>
      </c>
      <c r="BX35" s="259" t="s">
        <v>51</v>
      </c>
      <c r="BY35" s="260"/>
      <c r="BZ35" s="260"/>
      <c r="CA35" s="260"/>
      <c r="CB35" s="261"/>
      <c r="CC35" s="255" t="s">
        <v>64</v>
      </c>
      <c r="CD35" s="256"/>
    </row>
    <row r="36" spans="1:82" x14ac:dyDescent="0.3">
      <c r="A36" s="131">
        <v>33</v>
      </c>
      <c r="B36" s="119" t="s">
        <v>344</v>
      </c>
      <c r="C36" s="365">
        <f>BS36</f>
        <v>73.5</v>
      </c>
      <c r="D36" s="363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121">
        <v>28</v>
      </c>
      <c r="AV36" s="121">
        <v>14</v>
      </c>
      <c r="AW36" s="121"/>
      <c r="AX36" s="121"/>
      <c r="AY36" s="121"/>
      <c r="AZ36" s="121">
        <v>31.5</v>
      </c>
      <c r="BA36" s="121"/>
      <c r="BB36" s="121"/>
      <c r="BC36" s="121"/>
      <c r="BD36" s="121"/>
      <c r="BE36" s="152"/>
      <c r="BF36" s="152"/>
      <c r="BG36" s="152"/>
      <c r="BH36" s="152"/>
      <c r="BI36" s="152"/>
      <c r="BJ36" s="152"/>
      <c r="BK36" s="152"/>
      <c r="BL36" s="203"/>
      <c r="BM36" s="201"/>
      <c r="BN36" s="201"/>
      <c r="BO36" s="201"/>
      <c r="BP36" s="201"/>
      <c r="BQ36" s="201"/>
      <c r="BR36" s="202"/>
      <c r="BS36" s="144">
        <f>SUM(D36:BR36)</f>
        <v>73.5</v>
      </c>
      <c r="BV36" s="134"/>
      <c r="BW36" s="85">
        <v>9</v>
      </c>
      <c r="BX36" s="259" t="s">
        <v>52</v>
      </c>
      <c r="BY36" s="260"/>
      <c r="BZ36" s="260"/>
      <c r="CA36" s="260"/>
      <c r="CB36" s="261"/>
      <c r="CC36" s="255" t="s">
        <v>61</v>
      </c>
      <c r="CD36" s="256"/>
    </row>
    <row r="37" spans="1:82" x14ac:dyDescent="0.3">
      <c r="A37" s="124">
        <v>34</v>
      </c>
      <c r="B37" s="159" t="s">
        <v>193</v>
      </c>
      <c r="C37" s="365">
        <f>BS37</f>
        <v>70.5</v>
      </c>
      <c r="D37" s="362">
        <v>27.5</v>
      </c>
      <c r="E37" s="69"/>
      <c r="F37" s="69"/>
      <c r="G37" s="69"/>
      <c r="H37" s="69"/>
      <c r="I37" s="69"/>
      <c r="J37" s="69">
        <v>22.5</v>
      </c>
      <c r="K37" s="69"/>
      <c r="L37" s="69"/>
      <c r="M37" s="69"/>
      <c r="N37" s="69"/>
      <c r="O37" s="69">
        <v>7.5</v>
      </c>
      <c r="P37" s="69"/>
      <c r="Q37" s="69"/>
      <c r="R37" s="69"/>
      <c r="S37" s="69">
        <v>2.5</v>
      </c>
      <c r="T37" s="69"/>
      <c r="U37" s="69"/>
      <c r="V37" s="69"/>
      <c r="W37" s="69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>
        <v>10.5</v>
      </c>
      <c r="AY37" s="121"/>
      <c r="AZ37" s="121"/>
      <c r="BA37" s="121"/>
      <c r="BB37" s="121"/>
      <c r="BC37" s="121"/>
      <c r="BD37" s="121"/>
      <c r="BE37" s="152"/>
      <c r="BF37" s="152"/>
      <c r="BG37" s="152"/>
      <c r="BH37" s="152"/>
      <c r="BI37" s="152"/>
      <c r="BJ37" s="152"/>
      <c r="BK37" s="152"/>
      <c r="BL37" s="152"/>
      <c r="BM37" s="121"/>
      <c r="BN37" s="121"/>
      <c r="BO37" s="121"/>
      <c r="BP37" s="121"/>
      <c r="BQ37" s="121"/>
      <c r="BR37" s="355"/>
      <c r="BS37" s="144">
        <f>SUM(D37:BR37)</f>
        <v>70.5</v>
      </c>
      <c r="BV37" s="134"/>
      <c r="BW37" s="84">
        <v>10</v>
      </c>
      <c r="BX37" s="259" t="s">
        <v>62</v>
      </c>
      <c r="BY37" s="260"/>
      <c r="BZ37" s="260"/>
      <c r="CA37" s="260"/>
      <c r="CB37" s="261"/>
      <c r="CC37" s="255" t="s">
        <v>63</v>
      </c>
      <c r="CD37" s="256"/>
    </row>
    <row r="38" spans="1:82" x14ac:dyDescent="0.3">
      <c r="A38" s="131">
        <v>35</v>
      </c>
      <c r="B38" s="119" t="s">
        <v>219</v>
      </c>
      <c r="C38" s="365">
        <f>BS38</f>
        <v>68</v>
      </c>
      <c r="D38" s="362"/>
      <c r="E38" s="69"/>
      <c r="F38" s="69"/>
      <c r="G38" s="69">
        <v>5</v>
      </c>
      <c r="H38" s="69">
        <v>45.5</v>
      </c>
      <c r="I38" s="69"/>
      <c r="J38" s="69">
        <v>17.5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52"/>
      <c r="BF38" s="152"/>
      <c r="BG38" s="152"/>
      <c r="BH38" s="152"/>
      <c r="BI38" s="152"/>
      <c r="BJ38" s="152"/>
      <c r="BK38" s="152"/>
      <c r="BL38" s="152"/>
      <c r="BM38" s="121"/>
      <c r="BN38" s="121"/>
      <c r="BO38" s="121"/>
      <c r="BP38" s="121"/>
      <c r="BQ38" s="121"/>
      <c r="BR38" s="355"/>
      <c r="BS38" s="144">
        <f>SUM(D38:BR38)</f>
        <v>68</v>
      </c>
      <c r="BV38" s="134"/>
      <c r="BW38" s="85">
        <v>11</v>
      </c>
      <c r="BX38" s="259" t="s">
        <v>68</v>
      </c>
      <c r="BY38" s="260"/>
      <c r="BZ38" s="260"/>
      <c r="CA38" s="260"/>
      <c r="CB38" s="261"/>
      <c r="CC38" s="255" t="s">
        <v>71</v>
      </c>
      <c r="CD38" s="256"/>
    </row>
    <row r="39" spans="1:82" x14ac:dyDescent="0.3">
      <c r="A39" s="124">
        <v>36</v>
      </c>
      <c r="B39" s="119" t="s">
        <v>271</v>
      </c>
      <c r="C39" s="365">
        <f>BS39</f>
        <v>61</v>
      </c>
      <c r="D39" s="362"/>
      <c r="E39" s="69"/>
      <c r="F39" s="69"/>
      <c r="G39" s="69"/>
      <c r="H39" s="69">
        <v>3.5</v>
      </c>
      <c r="I39" s="69"/>
      <c r="J39" s="69"/>
      <c r="K39" s="69">
        <v>20</v>
      </c>
      <c r="L39" s="69"/>
      <c r="M39" s="69"/>
      <c r="N39" s="69"/>
      <c r="O39" s="69"/>
      <c r="P39" s="69"/>
      <c r="Q39" s="69"/>
      <c r="R39" s="69"/>
      <c r="S39" s="69"/>
      <c r="T39" s="69"/>
      <c r="U39" s="69">
        <v>37.5</v>
      </c>
      <c r="V39" s="69"/>
      <c r="W39" s="69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52"/>
      <c r="BF39" s="152"/>
      <c r="BG39" s="152"/>
      <c r="BH39" s="152"/>
      <c r="BI39" s="152"/>
      <c r="BJ39" s="152"/>
      <c r="BK39" s="152"/>
      <c r="BL39" s="152"/>
      <c r="BM39" s="121"/>
      <c r="BN39" s="121"/>
      <c r="BO39" s="121"/>
      <c r="BP39" s="121"/>
      <c r="BQ39" s="121"/>
      <c r="BR39" s="355"/>
      <c r="BS39" s="144">
        <f>SUM(D39:BR39)</f>
        <v>61</v>
      </c>
      <c r="BV39" s="134"/>
      <c r="BW39" s="84">
        <v>12</v>
      </c>
      <c r="BX39" s="259" t="s">
        <v>72</v>
      </c>
      <c r="BY39" s="260"/>
      <c r="BZ39" s="260"/>
      <c r="CA39" s="260"/>
      <c r="CB39" s="261"/>
      <c r="CC39" s="255" t="s">
        <v>73</v>
      </c>
      <c r="CD39" s="256"/>
    </row>
    <row r="40" spans="1:82" x14ac:dyDescent="0.3">
      <c r="A40" s="131">
        <v>37</v>
      </c>
      <c r="B40" s="119" t="s">
        <v>273</v>
      </c>
      <c r="C40" s="365">
        <f>BS40</f>
        <v>60</v>
      </c>
      <c r="D40" s="362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>
        <v>45</v>
      </c>
      <c r="P40" s="69"/>
      <c r="Q40" s="69"/>
      <c r="R40" s="69"/>
      <c r="S40" s="69">
        <v>15</v>
      </c>
      <c r="T40" s="69"/>
      <c r="U40" s="69"/>
      <c r="V40" s="69"/>
      <c r="W40" s="69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52"/>
      <c r="BF40" s="152"/>
      <c r="BG40" s="152"/>
      <c r="BH40" s="152"/>
      <c r="BI40" s="152"/>
      <c r="BJ40" s="152"/>
      <c r="BK40" s="152"/>
      <c r="BL40" s="152"/>
      <c r="BM40" s="121"/>
      <c r="BN40" s="121"/>
      <c r="BO40" s="121"/>
      <c r="BP40" s="121"/>
      <c r="BQ40" s="121"/>
      <c r="BR40" s="355"/>
      <c r="BS40" s="144">
        <f>SUM(D40:BR40)</f>
        <v>60</v>
      </c>
      <c r="BV40" s="134"/>
      <c r="BW40" s="85">
        <v>13</v>
      </c>
      <c r="BX40" s="259" t="s">
        <v>53</v>
      </c>
      <c r="BY40" s="260"/>
      <c r="BZ40" s="260"/>
      <c r="CA40" s="260"/>
      <c r="CB40" s="261"/>
      <c r="CC40" s="255" t="s">
        <v>75</v>
      </c>
      <c r="CD40" s="256"/>
    </row>
    <row r="41" spans="1:82" x14ac:dyDescent="0.3">
      <c r="A41" s="124">
        <v>38</v>
      </c>
      <c r="B41" s="119" t="s">
        <v>279</v>
      </c>
      <c r="C41" s="365">
        <f>BS41</f>
        <v>57</v>
      </c>
      <c r="D41" s="362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>
        <v>30</v>
      </c>
      <c r="S41" s="69">
        <v>27</v>
      </c>
      <c r="T41" s="69"/>
      <c r="U41" s="69"/>
      <c r="V41" s="69"/>
      <c r="W41" s="69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52"/>
      <c r="BF41" s="152"/>
      <c r="BG41" s="152"/>
      <c r="BH41" s="152"/>
      <c r="BI41" s="152"/>
      <c r="BJ41" s="152"/>
      <c r="BK41" s="152"/>
      <c r="BL41" s="152"/>
      <c r="BM41" s="121"/>
      <c r="BN41" s="121"/>
      <c r="BO41" s="121"/>
      <c r="BP41" s="121"/>
      <c r="BQ41" s="121"/>
      <c r="BR41" s="355"/>
      <c r="BS41" s="144">
        <f>SUM(D41:BR41)</f>
        <v>57</v>
      </c>
      <c r="BV41" s="134"/>
      <c r="BW41" s="84">
        <v>14</v>
      </c>
      <c r="BX41" s="259" t="s">
        <v>77</v>
      </c>
      <c r="BY41" s="260"/>
      <c r="BZ41" s="260"/>
      <c r="CA41" s="260"/>
      <c r="CB41" s="261"/>
      <c r="CC41" s="255" t="s">
        <v>76</v>
      </c>
      <c r="CD41" s="256"/>
    </row>
    <row r="42" spans="1:82" x14ac:dyDescent="0.3">
      <c r="A42" s="131">
        <v>39</v>
      </c>
      <c r="B42" s="159" t="s">
        <v>228</v>
      </c>
      <c r="C42" s="365">
        <f>BS42</f>
        <v>48</v>
      </c>
      <c r="D42" s="362" t="s">
        <v>268</v>
      </c>
      <c r="E42" s="69"/>
      <c r="F42" s="69"/>
      <c r="G42" s="69"/>
      <c r="H42" s="69"/>
      <c r="I42" s="69"/>
      <c r="J42" s="69">
        <v>37.5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52"/>
      <c r="BF42" s="152"/>
      <c r="BG42" s="152"/>
      <c r="BH42" s="152"/>
      <c r="BI42" s="152"/>
      <c r="BJ42" s="152"/>
      <c r="BK42" s="152"/>
      <c r="BL42" s="152"/>
      <c r="BM42" s="121"/>
      <c r="BN42" s="121">
        <v>10.5</v>
      </c>
      <c r="BO42" s="121"/>
      <c r="BP42" s="121"/>
      <c r="BQ42" s="121"/>
      <c r="BR42" s="355"/>
      <c r="BS42" s="144">
        <f>SUM(D42:BR42)</f>
        <v>48</v>
      </c>
      <c r="BV42" s="134"/>
      <c r="BW42" s="85">
        <v>15</v>
      </c>
      <c r="BX42" s="259" t="s">
        <v>54</v>
      </c>
      <c r="BY42" s="260"/>
      <c r="BZ42" s="260"/>
      <c r="CA42" s="260"/>
      <c r="CB42" s="261"/>
      <c r="CC42" s="255" t="s">
        <v>78</v>
      </c>
      <c r="CD42" s="256"/>
    </row>
    <row r="43" spans="1:82" x14ac:dyDescent="0.3">
      <c r="A43" s="124">
        <v>40</v>
      </c>
      <c r="B43" s="119" t="s">
        <v>281</v>
      </c>
      <c r="C43" s="365">
        <f>BS43</f>
        <v>45</v>
      </c>
      <c r="D43" s="362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>
        <v>45</v>
      </c>
      <c r="T43" s="69"/>
      <c r="U43" s="69"/>
      <c r="V43" s="69"/>
      <c r="W43" s="69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52"/>
      <c r="BF43" s="152"/>
      <c r="BG43" s="152"/>
      <c r="BH43" s="152"/>
      <c r="BI43" s="152"/>
      <c r="BJ43" s="152"/>
      <c r="BK43" s="152"/>
      <c r="BL43" s="152"/>
      <c r="BM43" s="121"/>
      <c r="BN43" s="121"/>
      <c r="BO43" s="121"/>
      <c r="BP43" s="121"/>
      <c r="BQ43" s="121"/>
      <c r="BR43" s="355"/>
      <c r="BS43" s="144">
        <f>SUM(D43:BR43)</f>
        <v>45</v>
      </c>
      <c r="BV43" s="134"/>
      <c r="BW43" s="84">
        <v>16</v>
      </c>
      <c r="BX43" s="259" t="s">
        <v>79</v>
      </c>
      <c r="BY43" s="260"/>
      <c r="BZ43" s="260"/>
      <c r="CA43" s="260"/>
      <c r="CB43" s="261"/>
      <c r="CC43" s="255" t="s">
        <v>80</v>
      </c>
      <c r="CD43" s="256"/>
    </row>
    <row r="44" spans="1:82" x14ac:dyDescent="0.3">
      <c r="A44" s="131">
        <v>41</v>
      </c>
      <c r="B44" s="119" t="s">
        <v>192</v>
      </c>
      <c r="C44" s="365">
        <f>BS44</f>
        <v>37.5</v>
      </c>
      <c r="D44" s="362">
        <v>15</v>
      </c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>
        <v>22.5</v>
      </c>
      <c r="P44" s="69"/>
      <c r="Q44" s="69"/>
      <c r="R44" s="69"/>
      <c r="S44" s="69"/>
      <c r="T44" s="69"/>
      <c r="U44" s="69"/>
      <c r="V44" s="69"/>
      <c r="W44" s="69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52"/>
      <c r="BF44" s="152"/>
      <c r="BG44" s="152"/>
      <c r="BH44" s="152"/>
      <c r="BI44" s="152"/>
      <c r="BJ44" s="152"/>
      <c r="BK44" s="152"/>
      <c r="BL44" s="152"/>
      <c r="BM44" s="121"/>
      <c r="BN44" s="121"/>
      <c r="BO44" s="121"/>
      <c r="BP44" s="121"/>
      <c r="BQ44" s="121"/>
      <c r="BR44" s="355"/>
      <c r="BS44" s="144">
        <f>SUM(D44:BR44)</f>
        <v>37.5</v>
      </c>
      <c r="BV44" s="134"/>
      <c r="BW44" s="85">
        <v>17</v>
      </c>
      <c r="BX44" s="259" t="s">
        <v>55</v>
      </c>
      <c r="BY44" s="260"/>
      <c r="BZ44" s="260"/>
      <c r="CA44" s="260"/>
      <c r="CB44" s="261"/>
      <c r="CC44" s="255" t="s">
        <v>81</v>
      </c>
      <c r="CD44" s="256"/>
    </row>
    <row r="45" spans="1:82" x14ac:dyDescent="0.3">
      <c r="A45" s="124">
        <v>42</v>
      </c>
      <c r="B45" s="119" t="s">
        <v>264</v>
      </c>
      <c r="C45" s="365">
        <f>BS45</f>
        <v>32.5</v>
      </c>
      <c r="D45" s="362"/>
      <c r="E45" s="69"/>
      <c r="F45" s="69"/>
      <c r="G45" s="115">
        <v>32.5</v>
      </c>
      <c r="H45" s="115"/>
      <c r="I45" s="115"/>
      <c r="J45" s="115"/>
      <c r="K45" s="115"/>
      <c r="L45" s="115"/>
      <c r="M45" s="115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52"/>
      <c r="BF45" s="152"/>
      <c r="BG45" s="152"/>
      <c r="BH45" s="152"/>
      <c r="BI45" s="152"/>
      <c r="BJ45" s="152"/>
      <c r="BK45" s="152"/>
      <c r="BL45" s="152"/>
      <c r="BM45" s="121"/>
      <c r="BN45" s="121"/>
      <c r="BO45" s="121"/>
      <c r="BP45" s="121"/>
      <c r="BQ45" s="121"/>
      <c r="BR45" s="355"/>
      <c r="BS45" s="144">
        <f>SUM(D45:BR45)</f>
        <v>32.5</v>
      </c>
      <c r="BV45" s="134"/>
      <c r="BW45" s="84">
        <v>18</v>
      </c>
      <c r="BX45" s="259" t="s">
        <v>56</v>
      </c>
      <c r="BY45" s="260"/>
      <c r="BZ45" s="260"/>
      <c r="CA45" s="260"/>
      <c r="CB45" s="261"/>
      <c r="CC45" s="255" t="s">
        <v>82</v>
      </c>
      <c r="CD45" s="256"/>
    </row>
    <row r="46" spans="1:82" x14ac:dyDescent="0.3">
      <c r="A46" s="131">
        <v>43</v>
      </c>
      <c r="B46" s="119" t="s">
        <v>195</v>
      </c>
      <c r="C46" s="365">
        <f>BS46</f>
        <v>32.5</v>
      </c>
      <c r="D46" s="362"/>
      <c r="E46" s="69"/>
      <c r="F46" s="69"/>
      <c r="G46" s="69"/>
      <c r="H46" s="69"/>
      <c r="I46" s="69"/>
      <c r="J46" s="115">
        <v>15</v>
      </c>
      <c r="K46" s="115"/>
      <c r="L46" s="115"/>
      <c r="M46" s="115"/>
      <c r="N46" s="69"/>
      <c r="O46" s="69"/>
      <c r="P46" s="69"/>
      <c r="Q46" s="69"/>
      <c r="R46" s="69"/>
      <c r="S46" s="69">
        <v>17.5</v>
      </c>
      <c r="T46" s="69"/>
      <c r="U46" s="69"/>
      <c r="V46" s="69"/>
      <c r="W46" s="69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52"/>
      <c r="BF46" s="152"/>
      <c r="BG46" s="152"/>
      <c r="BH46" s="152"/>
      <c r="BI46" s="152"/>
      <c r="BJ46" s="152"/>
      <c r="BK46" s="152"/>
      <c r="BL46" s="152"/>
      <c r="BM46" s="121"/>
      <c r="BN46" s="121"/>
      <c r="BO46" s="121"/>
      <c r="BP46" s="121"/>
      <c r="BQ46" s="121"/>
      <c r="BR46" s="355"/>
      <c r="BS46" s="144">
        <f>SUM(D46:BR46)</f>
        <v>32.5</v>
      </c>
      <c r="BV46" s="134"/>
      <c r="BW46" s="85">
        <v>19</v>
      </c>
      <c r="BX46" s="259" t="s">
        <v>57</v>
      </c>
      <c r="BY46" s="260"/>
      <c r="BZ46" s="260"/>
      <c r="CA46" s="260"/>
      <c r="CB46" s="261"/>
      <c r="CC46" s="255" t="s">
        <v>83</v>
      </c>
      <c r="CD46" s="256"/>
    </row>
    <row r="47" spans="1:82" x14ac:dyDescent="0.3">
      <c r="A47" s="124">
        <v>44</v>
      </c>
      <c r="B47" s="119" t="s">
        <v>275</v>
      </c>
      <c r="C47" s="365">
        <f>BS47</f>
        <v>30</v>
      </c>
      <c r="D47" s="362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>
        <v>20</v>
      </c>
      <c r="Q47" s="69"/>
      <c r="R47" s="69"/>
      <c r="S47" s="69"/>
      <c r="T47" s="69"/>
      <c r="U47" s="69"/>
      <c r="V47" s="69">
        <v>10</v>
      </c>
      <c r="W47" s="69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52"/>
      <c r="BF47" s="152"/>
      <c r="BG47" s="152"/>
      <c r="BH47" s="152"/>
      <c r="BI47" s="152"/>
      <c r="BJ47" s="152"/>
      <c r="BK47" s="152"/>
      <c r="BL47" s="152"/>
      <c r="BM47" s="121"/>
      <c r="BN47" s="121"/>
      <c r="BO47" s="121"/>
      <c r="BP47" s="121"/>
      <c r="BQ47" s="121"/>
      <c r="BR47" s="355"/>
      <c r="BS47" s="144">
        <f>SUM(D47:BR47)</f>
        <v>30</v>
      </c>
      <c r="BV47" s="134"/>
      <c r="BW47" s="84">
        <v>20</v>
      </c>
      <c r="BX47" s="259" t="s">
        <v>84</v>
      </c>
      <c r="BY47" s="260"/>
      <c r="BZ47" s="260"/>
      <c r="CA47" s="260"/>
      <c r="CB47" s="261"/>
      <c r="CC47" s="255" t="s">
        <v>85</v>
      </c>
      <c r="CD47" s="256"/>
    </row>
    <row r="48" spans="1:82" ht="15" thickBot="1" x14ac:dyDescent="0.35">
      <c r="A48" s="131">
        <v>45</v>
      </c>
      <c r="B48" s="119" t="s">
        <v>276</v>
      </c>
      <c r="C48" s="365">
        <f>BS48</f>
        <v>26.5</v>
      </c>
      <c r="D48" s="362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>
        <v>12.5</v>
      </c>
      <c r="S48" s="69"/>
      <c r="T48" s="69"/>
      <c r="U48" s="69"/>
      <c r="V48" s="69"/>
      <c r="W48" s="69"/>
      <c r="X48" s="121"/>
      <c r="Y48" s="121"/>
      <c r="Z48" s="121"/>
      <c r="AA48" s="121"/>
      <c r="AB48" s="121"/>
      <c r="AC48" s="121">
        <v>14</v>
      </c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52"/>
      <c r="BF48" s="152"/>
      <c r="BG48" s="152"/>
      <c r="BH48" s="152"/>
      <c r="BI48" s="152"/>
      <c r="BJ48" s="152"/>
      <c r="BK48" s="152"/>
      <c r="BL48" s="152"/>
      <c r="BM48" s="121"/>
      <c r="BN48" s="121"/>
      <c r="BO48" s="121"/>
      <c r="BP48" s="121"/>
      <c r="BQ48" s="121"/>
      <c r="BR48" s="355"/>
      <c r="BS48" s="144">
        <f>SUM(D48:BR48)</f>
        <v>26.5</v>
      </c>
      <c r="BV48" s="134"/>
      <c r="BW48" s="137">
        <v>21</v>
      </c>
      <c r="BX48" s="287" t="s">
        <v>86</v>
      </c>
      <c r="BY48" s="288"/>
      <c r="BZ48" s="288"/>
      <c r="CA48" s="288"/>
      <c r="CB48" s="289"/>
      <c r="CC48" s="257" t="s">
        <v>87</v>
      </c>
      <c r="CD48" s="258"/>
    </row>
    <row r="49" spans="1:82" ht="15" thickBot="1" x14ac:dyDescent="0.35">
      <c r="A49" s="124">
        <v>46</v>
      </c>
      <c r="B49" s="159" t="s">
        <v>348</v>
      </c>
      <c r="C49" s="365">
        <f>BS49</f>
        <v>24.5</v>
      </c>
      <c r="D49" s="363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21">
        <v>24.5</v>
      </c>
      <c r="AX49" s="121"/>
      <c r="AY49" s="121"/>
      <c r="AZ49" s="121"/>
      <c r="BA49" s="121"/>
      <c r="BB49" s="121"/>
      <c r="BC49" s="121"/>
      <c r="BD49" s="121"/>
      <c r="BE49" s="152"/>
      <c r="BF49" s="152"/>
      <c r="BG49" s="152"/>
      <c r="BH49" s="152"/>
      <c r="BI49" s="152"/>
      <c r="BJ49" s="152"/>
      <c r="BK49" s="152"/>
      <c r="BL49" s="152"/>
      <c r="BM49" s="121"/>
      <c r="BN49" s="121"/>
      <c r="BO49" s="121"/>
      <c r="BP49" s="121"/>
      <c r="BQ49" s="121"/>
      <c r="BR49" s="355"/>
      <c r="BS49" s="144">
        <f>SUM(D49:BR49)</f>
        <v>24.5</v>
      </c>
      <c r="BV49" s="134"/>
      <c r="BW49" s="139" t="s">
        <v>45</v>
      </c>
      <c r="BX49" s="252" t="s">
        <v>248</v>
      </c>
      <c r="BY49" s="253"/>
      <c r="BZ49" s="253"/>
      <c r="CA49" s="253"/>
      <c r="CB49" s="254"/>
      <c r="CC49" s="250" t="s">
        <v>74</v>
      </c>
      <c r="CD49" s="251"/>
    </row>
    <row r="50" spans="1:82" x14ac:dyDescent="0.3">
      <c r="A50" s="131">
        <v>47</v>
      </c>
      <c r="B50" s="119" t="s">
        <v>277</v>
      </c>
      <c r="C50" s="365">
        <f>BS50</f>
        <v>20</v>
      </c>
      <c r="D50" s="362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>
        <v>20</v>
      </c>
      <c r="S50" s="69"/>
      <c r="T50" s="69"/>
      <c r="U50" s="69"/>
      <c r="V50" s="69"/>
      <c r="W50" s="69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52"/>
      <c r="BF50" s="152"/>
      <c r="BG50" s="152"/>
      <c r="BH50" s="152"/>
      <c r="BI50" s="152"/>
      <c r="BJ50" s="152"/>
      <c r="BK50" s="152"/>
      <c r="BL50" s="152"/>
      <c r="BM50" s="121"/>
      <c r="BN50" s="121"/>
      <c r="BO50" s="121"/>
      <c r="BP50" s="121"/>
      <c r="BQ50" s="121"/>
      <c r="BR50" s="355"/>
      <c r="BS50" s="144">
        <f>SUM(D50:BR50)</f>
        <v>20</v>
      </c>
      <c r="BV50" s="134"/>
      <c r="BW50" s="145">
        <v>1</v>
      </c>
      <c r="BX50" s="248" t="s">
        <v>309</v>
      </c>
      <c r="BY50" s="248"/>
      <c r="BZ50" s="248"/>
      <c r="CA50" s="248"/>
      <c r="CB50" s="248"/>
      <c r="CC50" s="248" t="s">
        <v>457</v>
      </c>
      <c r="CD50" s="249"/>
    </row>
    <row r="51" spans="1:82" x14ac:dyDescent="0.3">
      <c r="A51" s="124">
        <v>48</v>
      </c>
      <c r="B51" s="119" t="s">
        <v>223</v>
      </c>
      <c r="C51" s="365">
        <f>BS51</f>
        <v>20</v>
      </c>
      <c r="D51" s="362"/>
      <c r="E51" s="69"/>
      <c r="F51" s="69"/>
      <c r="G51" s="69"/>
      <c r="H51" s="69"/>
      <c r="I51" s="69"/>
      <c r="J51" s="69">
        <v>20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52"/>
      <c r="BF51" s="152"/>
      <c r="BG51" s="152"/>
      <c r="BH51" s="152"/>
      <c r="BI51" s="152"/>
      <c r="BJ51" s="152"/>
      <c r="BK51" s="152"/>
      <c r="BL51" s="152"/>
      <c r="BM51" s="121"/>
      <c r="BN51" s="121"/>
      <c r="BO51" s="121"/>
      <c r="BP51" s="121"/>
      <c r="BQ51" s="121"/>
      <c r="BR51" s="355"/>
      <c r="BS51" s="144">
        <f>SUM(D51:BR51)</f>
        <v>20</v>
      </c>
      <c r="BV51" s="134"/>
      <c r="BW51" s="147">
        <v>2</v>
      </c>
      <c r="BX51" s="246" t="s">
        <v>310</v>
      </c>
      <c r="BY51" s="246"/>
      <c r="BZ51" s="246"/>
      <c r="CA51" s="246"/>
      <c r="CB51" s="246"/>
      <c r="CC51" s="246" t="s">
        <v>458</v>
      </c>
      <c r="CD51" s="247"/>
    </row>
    <row r="52" spans="1:82" x14ac:dyDescent="0.3">
      <c r="A52" s="131">
        <v>49</v>
      </c>
      <c r="B52" s="119" t="s">
        <v>288</v>
      </c>
      <c r="C52" s="365">
        <f>BS52</f>
        <v>14</v>
      </c>
      <c r="D52" s="362"/>
      <c r="E52" s="69"/>
      <c r="F52" s="69"/>
      <c r="G52" s="69"/>
      <c r="H52" s="69">
        <v>14</v>
      </c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52"/>
      <c r="BF52" s="152"/>
      <c r="BG52" s="152"/>
      <c r="BH52" s="152"/>
      <c r="BI52" s="152"/>
      <c r="BJ52" s="152"/>
      <c r="BK52" s="152"/>
      <c r="BL52" s="152"/>
      <c r="BM52" s="121"/>
      <c r="BN52" s="121"/>
      <c r="BO52" s="121"/>
      <c r="BP52" s="121"/>
      <c r="BQ52" s="121"/>
      <c r="BR52" s="355"/>
      <c r="BS52" s="144">
        <f>SUM(D52:BR52)</f>
        <v>14</v>
      </c>
      <c r="BV52" s="134"/>
      <c r="BW52" s="147">
        <v>3</v>
      </c>
      <c r="BX52" s="246" t="s">
        <v>300</v>
      </c>
      <c r="BY52" s="246"/>
      <c r="BZ52" s="246"/>
      <c r="CA52" s="246"/>
      <c r="CB52" s="246"/>
      <c r="CC52" s="246" t="s">
        <v>301</v>
      </c>
      <c r="CD52" s="247"/>
    </row>
    <row r="53" spans="1:82" x14ac:dyDescent="0.3">
      <c r="A53" s="124">
        <v>50</v>
      </c>
      <c r="B53" s="119" t="s">
        <v>283</v>
      </c>
      <c r="C53" s="365">
        <f>BS53</f>
        <v>10</v>
      </c>
      <c r="D53" s="362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>
        <v>10</v>
      </c>
      <c r="R53" s="69"/>
      <c r="S53" s="69"/>
      <c r="T53" s="69"/>
      <c r="U53" s="69"/>
      <c r="V53" s="69"/>
      <c r="W53" s="69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52"/>
      <c r="BF53" s="152"/>
      <c r="BG53" s="152"/>
      <c r="BH53" s="152"/>
      <c r="BI53" s="152"/>
      <c r="BJ53" s="152"/>
      <c r="BK53" s="152"/>
      <c r="BL53" s="152"/>
      <c r="BM53" s="121"/>
      <c r="BN53" s="121"/>
      <c r="BO53" s="121"/>
      <c r="BP53" s="121"/>
      <c r="BQ53" s="121"/>
      <c r="BR53" s="355"/>
      <c r="BS53" s="144">
        <f>SUM(D53:BR53)</f>
        <v>10</v>
      </c>
      <c r="BV53" s="134"/>
      <c r="BW53" s="147">
        <v>4</v>
      </c>
      <c r="BX53" s="246" t="s">
        <v>300</v>
      </c>
      <c r="BY53" s="246"/>
      <c r="BZ53" s="246"/>
      <c r="CA53" s="246"/>
      <c r="CB53" s="246"/>
      <c r="CC53" s="246" t="s">
        <v>302</v>
      </c>
      <c r="CD53" s="247"/>
    </row>
    <row r="54" spans="1:82" x14ac:dyDescent="0.3">
      <c r="A54" s="131">
        <v>51</v>
      </c>
      <c r="B54" s="119" t="s">
        <v>289</v>
      </c>
      <c r="C54" s="365">
        <f>BS54</f>
        <v>7</v>
      </c>
      <c r="D54" s="362"/>
      <c r="E54" s="69"/>
      <c r="F54" s="69"/>
      <c r="G54" s="69"/>
      <c r="H54" s="69"/>
      <c r="I54" s="69">
        <v>7</v>
      </c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52"/>
      <c r="BF54" s="152"/>
      <c r="BG54" s="152"/>
      <c r="BH54" s="152"/>
      <c r="BI54" s="152"/>
      <c r="BJ54" s="152"/>
      <c r="BK54" s="152"/>
      <c r="BL54" s="152"/>
      <c r="BM54" s="121"/>
      <c r="BN54" s="121"/>
      <c r="BO54" s="121"/>
      <c r="BP54" s="121"/>
      <c r="BQ54" s="121"/>
      <c r="BR54" s="355"/>
      <c r="BS54" s="144">
        <f>SUM(D54:BR54)</f>
        <v>7</v>
      </c>
      <c r="BV54" s="134"/>
      <c r="BW54" s="147">
        <v>5</v>
      </c>
      <c r="BX54" s="246" t="s">
        <v>303</v>
      </c>
      <c r="BY54" s="246"/>
      <c r="BZ54" s="246"/>
      <c r="CA54" s="246"/>
      <c r="CB54" s="246"/>
      <c r="CC54" s="246" t="s">
        <v>304</v>
      </c>
      <c r="CD54" s="247"/>
    </row>
    <row r="55" spans="1:82" x14ac:dyDescent="0.3">
      <c r="A55" s="124">
        <v>52</v>
      </c>
      <c r="B55" s="119" t="s">
        <v>280</v>
      </c>
      <c r="C55" s="365">
        <f>BS55</f>
        <v>5</v>
      </c>
      <c r="D55" s="362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>
        <v>5</v>
      </c>
      <c r="S55" s="69"/>
      <c r="T55" s="69"/>
      <c r="U55" s="69"/>
      <c r="V55" s="69"/>
      <c r="W55" s="69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52"/>
      <c r="BF55" s="152"/>
      <c r="BG55" s="152"/>
      <c r="BH55" s="152"/>
      <c r="BI55" s="152"/>
      <c r="BJ55" s="152"/>
      <c r="BK55" s="152"/>
      <c r="BL55" s="152"/>
      <c r="BM55" s="121"/>
      <c r="BN55" s="121"/>
      <c r="BO55" s="121"/>
      <c r="BP55" s="121"/>
      <c r="BQ55" s="121"/>
      <c r="BR55" s="355"/>
      <c r="BS55" s="144">
        <f>SUM(D55:BR55)</f>
        <v>5</v>
      </c>
      <c r="BV55" s="134"/>
      <c r="BW55" s="147">
        <v>6</v>
      </c>
      <c r="BX55" s="246" t="s">
        <v>305</v>
      </c>
      <c r="BY55" s="246"/>
      <c r="BZ55" s="246"/>
      <c r="CA55" s="246"/>
      <c r="CB55" s="246"/>
      <c r="CC55" s="246" t="s">
        <v>306</v>
      </c>
      <c r="CD55" s="247"/>
    </row>
    <row r="56" spans="1:82" x14ac:dyDescent="0.3">
      <c r="A56" s="131">
        <v>53</v>
      </c>
      <c r="B56" s="119" t="s">
        <v>274</v>
      </c>
      <c r="C56" s="365">
        <f>BS56</f>
        <v>2.5</v>
      </c>
      <c r="D56" s="362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>
        <v>2.5</v>
      </c>
      <c r="P56" s="69"/>
      <c r="Q56" s="69"/>
      <c r="R56" s="69"/>
      <c r="S56" s="69"/>
      <c r="T56" s="69"/>
      <c r="U56" s="69"/>
      <c r="V56" s="69"/>
      <c r="W56" s="69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52"/>
      <c r="BF56" s="152"/>
      <c r="BG56" s="152"/>
      <c r="BH56" s="152"/>
      <c r="BI56" s="152"/>
      <c r="BJ56" s="152"/>
      <c r="BK56" s="152"/>
      <c r="BL56" s="152"/>
      <c r="BM56" s="121"/>
      <c r="BN56" s="121"/>
      <c r="BO56" s="121"/>
      <c r="BP56" s="121"/>
      <c r="BQ56" s="121"/>
      <c r="BR56" s="355"/>
      <c r="BS56" s="144">
        <f>SUM(D56:BR56)</f>
        <v>2.5</v>
      </c>
      <c r="BV56" s="134"/>
      <c r="BW56" s="147">
        <v>7</v>
      </c>
      <c r="BX56" s="246" t="s">
        <v>307</v>
      </c>
      <c r="BY56" s="246"/>
      <c r="BZ56" s="246"/>
      <c r="CA56" s="246"/>
      <c r="CB56" s="246"/>
      <c r="CC56" s="246" t="s">
        <v>308</v>
      </c>
      <c r="CD56" s="247"/>
    </row>
    <row r="57" spans="1:82" ht="15" thickBot="1" x14ac:dyDescent="0.35">
      <c r="A57" s="126">
        <v>54</v>
      </c>
      <c r="B57" s="360" t="s">
        <v>282</v>
      </c>
      <c r="C57" s="366">
        <f>BS57</f>
        <v>2.5</v>
      </c>
      <c r="D57" s="364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>
        <v>2.5</v>
      </c>
      <c r="S57" s="128"/>
      <c r="T57" s="128"/>
      <c r="U57" s="128"/>
      <c r="V57" s="128"/>
      <c r="W57" s="12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8"/>
      <c r="AT57" s="188"/>
      <c r="AU57" s="188"/>
      <c r="AV57" s="188"/>
      <c r="AW57" s="188"/>
      <c r="AX57" s="188"/>
      <c r="AY57" s="188"/>
      <c r="AZ57" s="188"/>
      <c r="BA57" s="188"/>
      <c r="BB57" s="188"/>
      <c r="BC57" s="188"/>
      <c r="BD57" s="188"/>
      <c r="BE57" s="189"/>
      <c r="BF57" s="189"/>
      <c r="BG57" s="189"/>
      <c r="BH57" s="189"/>
      <c r="BI57" s="189"/>
      <c r="BJ57" s="189"/>
      <c r="BK57" s="189"/>
      <c r="BL57" s="189"/>
      <c r="BM57" s="188"/>
      <c r="BN57" s="188"/>
      <c r="BO57" s="188"/>
      <c r="BP57" s="188"/>
      <c r="BQ57" s="188"/>
      <c r="BR57" s="356"/>
      <c r="BS57" s="357">
        <f>SUM(D57:BR57)</f>
        <v>2.5</v>
      </c>
      <c r="BV57" s="134"/>
      <c r="BW57" s="147">
        <v>8</v>
      </c>
      <c r="BX57" s="246" t="s">
        <v>309</v>
      </c>
      <c r="BY57" s="246"/>
      <c r="BZ57" s="246"/>
      <c r="CA57" s="246"/>
      <c r="CB57" s="246"/>
      <c r="CC57" s="246" t="s">
        <v>311</v>
      </c>
      <c r="CD57" s="247"/>
    </row>
    <row r="58" spans="1:82" x14ac:dyDescent="0.3">
      <c r="BV58" s="134"/>
      <c r="BW58" s="147">
        <v>9</v>
      </c>
      <c r="BX58" s="246" t="s">
        <v>310</v>
      </c>
      <c r="BY58" s="246"/>
      <c r="BZ58" s="246"/>
      <c r="CA58" s="246"/>
      <c r="CB58" s="246"/>
      <c r="CC58" s="242" t="s">
        <v>312</v>
      </c>
      <c r="CD58" s="243"/>
    </row>
    <row r="59" spans="1:82" x14ac:dyDescent="0.3">
      <c r="BV59" s="134"/>
      <c r="BW59" s="147">
        <v>10</v>
      </c>
      <c r="BX59" s="242" t="s">
        <v>315</v>
      </c>
      <c r="BY59" s="242"/>
      <c r="BZ59" s="242"/>
      <c r="CA59" s="242"/>
      <c r="CB59" s="242"/>
      <c r="CC59" s="242" t="s">
        <v>313</v>
      </c>
      <c r="CD59" s="243"/>
    </row>
    <row r="60" spans="1:82" x14ac:dyDescent="0.3">
      <c r="BV60" s="134"/>
      <c r="BW60" s="147">
        <v>11</v>
      </c>
      <c r="BX60" s="242" t="s">
        <v>314</v>
      </c>
      <c r="BY60" s="242"/>
      <c r="BZ60" s="242"/>
      <c r="CA60" s="242"/>
      <c r="CB60" s="242"/>
      <c r="CC60" s="242" t="s">
        <v>316</v>
      </c>
      <c r="CD60" s="243"/>
    </row>
    <row r="61" spans="1:82" x14ac:dyDescent="0.3">
      <c r="BV61" s="134"/>
      <c r="BW61" s="147">
        <v>12</v>
      </c>
      <c r="BX61" s="242" t="s">
        <v>314</v>
      </c>
      <c r="BY61" s="242"/>
      <c r="BZ61" s="242"/>
      <c r="CA61" s="242"/>
      <c r="CB61" s="242"/>
      <c r="CC61" s="242" t="s">
        <v>317</v>
      </c>
      <c r="CD61" s="243"/>
    </row>
    <row r="62" spans="1:82" x14ac:dyDescent="0.3">
      <c r="BV62" s="134"/>
      <c r="BW62" s="147">
        <v>13</v>
      </c>
      <c r="BX62" s="242" t="s">
        <v>318</v>
      </c>
      <c r="BY62" s="242"/>
      <c r="BZ62" s="242"/>
      <c r="CA62" s="242"/>
      <c r="CB62" s="242"/>
      <c r="CC62" s="242" t="s">
        <v>319</v>
      </c>
      <c r="CD62" s="243"/>
    </row>
    <row r="63" spans="1:82" x14ac:dyDescent="0.3">
      <c r="BV63" s="134"/>
      <c r="BW63" s="147">
        <v>14</v>
      </c>
      <c r="BX63" s="242" t="s">
        <v>320</v>
      </c>
      <c r="BY63" s="242"/>
      <c r="BZ63" s="242"/>
      <c r="CA63" s="242"/>
      <c r="CB63" s="242"/>
      <c r="CC63" s="242" t="s">
        <v>321</v>
      </c>
      <c r="CD63" s="243"/>
    </row>
    <row r="64" spans="1:82" x14ac:dyDescent="0.3">
      <c r="BV64" s="134"/>
      <c r="BW64" s="147">
        <v>15</v>
      </c>
      <c r="BX64" s="242" t="s">
        <v>323</v>
      </c>
      <c r="BY64" s="242"/>
      <c r="BZ64" s="242"/>
      <c r="CA64" s="242"/>
      <c r="CB64" s="242"/>
      <c r="CC64" s="242" t="s">
        <v>324</v>
      </c>
      <c r="CD64" s="243"/>
    </row>
    <row r="65" spans="74:83" x14ac:dyDescent="0.3">
      <c r="BV65" s="149"/>
      <c r="BW65" s="147">
        <v>16</v>
      </c>
      <c r="BX65" s="242" t="s">
        <v>326</v>
      </c>
      <c r="BY65" s="242"/>
      <c r="BZ65" s="242"/>
      <c r="CA65" s="242"/>
      <c r="CB65" s="242"/>
      <c r="CC65" s="242" t="s">
        <v>325</v>
      </c>
      <c r="CD65" s="243"/>
      <c r="CE65" s="116"/>
    </row>
    <row r="66" spans="74:83" x14ac:dyDescent="0.3">
      <c r="BV66" s="149"/>
      <c r="BW66" s="147">
        <v>17</v>
      </c>
      <c r="BX66" s="242" t="s">
        <v>328</v>
      </c>
      <c r="BY66" s="242"/>
      <c r="BZ66" s="242"/>
      <c r="CA66" s="242"/>
      <c r="CB66" s="242"/>
      <c r="CC66" s="242" t="s">
        <v>329</v>
      </c>
      <c r="CD66" s="243"/>
      <c r="CE66" s="122" t="s">
        <v>372</v>
      </c>
    </row>
    <row r="67" spans="74:83" x14ac:dyDescent="0.3">
      <c r="BV67" s="149"/>
      <c r="BW67" s="147">
        <v>18</v>
      </c>
      <c r="BX67" s="242" t="s">
        <v>330</v>
      </c>
      <c r="BY67" s="242"/>
      <c r="BZ67" s="242"/>
      <c r="CA67" s="242"/>
      <c r="CB67" s="242"/>
      <c r="CC67" s="242" t="s">
        <v>329</v>
      </c>
      <c r="CD67" s="243"/>
      <c r="CE67" s="122"/>
    </row>
    <row r="68" spans="74:83" x14ac:dyDescent="0.3">
      <c r="BV68" s="149"/>
      <c r="BW68" s="147">
        <v>19</v>
      </c>
      <c r="BX68" s="242" t="s">
        <v>331</v>
      </c>
      <c r="BY68" s="242"/>
      <c r="BZ68" s="242"/>
      <c r="CA68" s="242"/>
      <c r="CB68" s="242"/>
      <c r="CC68" s="242" t="s">
        <v>332</v>
      </c>
      <c r="CD68" s="243"/>
      <c r="CE68" s="122"/>
    </row>
    <row r="69" spans="74:83" x14ac:dyDescent="0.3">
      <c r="BV69" s="149"/>
      <c r="BW69" s="147">
        <v>20</v>
      </c>
      <c r="BX69" s="242" t="s">
        <v>335</v>
      </c>
      <c r="BY69" s="242"/>
      <c r="BZ69" s="242"/>
      <c r="CA69" s="242"/>
      <c r="CB69" s="242"/>
      <c r="CC69" s="242" t="s">
        <v>334</v>
      </c>
      <c r="CD69" s="243"/>
      <c r="CE69" s="122"/>
    </row>
    <row r="70" spans="74:83" x14ac:dyDescent="0.3">
      <c r="BV70" s="149"/>
      <c r="BW70" s="147">
        <v>21</v>
      </c>
      <c r="BX70" s="242" t="s">
        <v>336</v>
      </c>
      <c r="BY70" s="242"/>
      <c r="BZ70" s="242"/>
      <c r="CA70" s="242"/>
      <c r="CB70" s="242"/>
      <c r="CC70" s="242" t="s">
        <v>337</v>
      </c>
      <c r="CD70" s="243"/>
      <c r="CE70" s="122" t="s">
        <v>372</v>
      </c>
    </row>
    <row r="71" spans="74:83" x14ac:dyDescent="0.3">
      <c r="BV71" s="149"/>
      <c r="BW71" s="147">
        <v>22</v>
      </c>
      <c r="BX71" s="242" t="s">
        <v>338</v>
      </c>
      <c r="BY71" s="242"/>
      <c r="BZ71" s="242"/>
      <c r="CA71" s="242"/>
      <c r="CB71" s="242"/>
      <c r="CC71" s="242" t="s">
        <v>339</v>
      </c>
      <c r="CD71" s="243"/>
    </row>
    <row r="72" spans="74:83" x14ac:dyDescent="0.3">
      <c r="BV72" s="149"/>
      <c r="BW72" s="147">
        <v>23</v>
      </c>
      <c r="BX72" s="242" t="s">
        <v>340</v>
      </c>
      <c r="BY72" s="242"/>
      <c r="BZ72" s="242"/>
      <c r="CA72" s="242"/>
      <c r="CB72" s="242"/>
      <c r="CC72" s="242" t="s">
        <v>341</v>
      </c>
      <c r="CD72" s="243"/>
    </row>
    <row r="73" spans="74:83" x14ac:dyDescent="0.3">
      <c r="BV73" s="149"/>
      <c r="BW73" s="147">
        <v>24</v>
      </c>
      <c r="BX73" s="246" t="s">
        <v>342</v>
      </c>
      <c r="BY73" s="246"/>
      <c r="BZ73" s="246"/>
      <c r="CA73" s="246"/>
      <c r="CB73" s="246"/>
      <c r="CC73" s="242" t="s">
        <v>343</v>
      </c>
      <c r="CD73" s="243"/>
    </row>
    <row r="74" spans="74:83" x14ac:dyDescent="0.3">
      <c r="BV74" s="149"/>
      <c r="BW74" s="147">
        <v>25</v>
      </c>
      <c r="BX74" s="246" t="s">
        <v>342</v>
      </c>
      <c r="BY74" s="246"/>
      <c r="BZ74" s="246"/>
      <c r="CA74" s="246"/>
      <c r="CB74" s="246"/>
      <c r="CC74" s="242" t="s">
        <v>345</v>
      </c>
      <c r="CD74" s="243"/>
    </row>
    <row r="75" spans="74:83" x14ac:dyDescent="0.3">
      <c r="BV75" s="149"/>
      <c r="BW75" s="147">
        <v>26</v>
      </c>
      <c r="BX75" s="242" t="s">
        <v>346</v>
      </c>
      <c r="BY75" s="242"/>
      <c r="BZ75" s="242"/>
      <c r="CA75" s="242"/>
      <c r="CB75" s="242"/>
      <c r="CC75" s="242" t="s">
        <v>347</v>
      </c>
      <c r="CD75" s="243"/>
    </row>
    <row r="76" spans="74:83" x14ac:dyDescent="0.3">
      <c r="BV76" s="134"/>
      <c r="BW76" s="147">
        <v>27</v>
      </c>
      <c r="BX76" s="242" t="s">
        <v>346</v>
      </c>
      <c r="BY76" s="242"/>
      <c r="BZ76" s="242"/>
      <c r="CA76" s="242"/>
      <c r="CB76" s="242"/>
      <c r="CC76" s="242" t="s">
        <v>349</v>
      </c>
      <c r="CD76" s="243"/>
    </row>
    <row r="77" spans="74:83" x14ac:dyDescent="0.3">
      <c r="BV77" s="134"/>
      <c r="BW77" s="147">
        <v>28</v>
      </c>
      <c r="BX77" s="242" t="s">
        <v>350</v>
      </c>
      <c r="BY77" s="242"/>
      <c r="BZ77" s="242"/>
      <c r="CA77" s="242"/>
      <c r="CB77" s="242"/>
      <c r="CC77" s="242" t="s">
        <v>351</v>
      </c>
      <c r="CD77" s="243"/>
    </row>
    <row r="78" spans="74:83" x14ac:dyDescent="0.3">
      <c r="BV78" s="134"/>
      <c r="BW78" s="147">
        <v>29</v>
      </c>
      <c r="BX78" s="246" t="s">
        <v>342</v>
      </c>
      <c r="BY78" s="246"/>
      <c r="BZ78" s="246"/>
      <c r="CA78" s="246"/>
      <c r="CB78" s="246"/>
      <c r="CC78" s="242" t="s">
        <v>352</v>
      </c>
      <c r="CD78" s="243"/>
    </row>
    <row r="79" spans="74:83" x14ac:dyDescent="0.3">
      <c r="BV79" s="134"/>
      <c r="BW79" s="147">
        <v>30</v>
      </c>
      <c r="BX79" s="242" t="s">
        <v>354</v>
      </c>
      <c r="BY79" s="242"/>
      <c r="BZ79" s="242"/>
      <c r="CA79" s="242"/>
      <c r="CB79" s="242"/>
      <c r="CC79" s="242" t="s">
        <v>353</v>
      </c>
      <c r="CD79" s="243"/>
    </row>
    <row r="80" spans="74:83" x14ac:dyDescent="0.3">
      <c r="BV80" s="134"/>
      <c r="BW80" s="147">
        <v>31</v>
      </c>
      <c r="BX80" s="242" t="s">
        <v>355</v>
      </c>
      <c r="BY80" s="242"/>
      <c r="BZ80" s="242"/>
      <c r="CA80" s="242"/>
      <c r="CB80" s="242"/>
      <c r="CC80" s="242" t="s">
        <v>356</v>
      </c>
      <c r="CD80" s="243"/>
    </row>
    <row r="81" spans="74:82" x14ac:dyDescent="0.3">
      <c r="BV81" s="134"/>
      <c r="BW81" s="147">
        <v>32</v>
      </c>
      <c r="BX81" s="242" t="s">
        <v>355</v>
      </c>
      <c r="BY81" s="242"/>
      <c r="BZ81" s="242"/>
      <c r="CA81" s="242"/>
      <c r="CB81" s="242"/>
      <c r="CC81" s="242" t="s">
        <v>357</v>
      </c>
      <c r="CD81" s="243"/>
    </row>
    <row r="82" spans="74:82" x14ac:dyDescent="0.3">
      <c r="BV82" s="134"/>
      <c r="BW82" s="147">
        <v>33</v>
      </c>
      <c r="BX82" s="242" t="s">
        <v>358</v>
      </c>
      <c r="BY82" s="242"/>
      <c r="BZ82" s="242"/>
      <c r="CA82" s="242"/>
      <c r="CB82" s="242"/>
      <c r="CC82" s="242" t="s">
        <v>357</v>
      </c>
      <c r="CD82" s="243"/>
    </row>
    <row r="83" spans="74:82" x14ac:dyDescent="0.3">
      <c r="BV83" s="134"/>
      <c r="BW83" s="147">
        <v>34</v>
      </c>
      <c r="BX83" s="242" t="s">
        <v>360</v>
      </c>
      <c r="BY83" s="242"/>
      <c r="BZ83" s="242"/>
      <c r="CA83" s="242"/>
      <c r="CB83" s="242"/>
      <c r="CC83" s="244" t="s">
        <v>359</v>
      </c>
      <c r="CD83" s="245"/>
    </row>
    <row r="84" spans="74:82" x14ac:dyDescent="0.3">
      <c r="BV84" s="134"/>
      <c r="BW84" s="147">
        <v>35</v>
      </c>
      <c r="BX84" s="242" t="s">
        <v>361</v>
      </c>
      <c r="BY84" s="242"/>
      <c r="BZ84" s="242"/>
      <c r="CA84" s="242"/>
      <c r="CB84" s="242"/>
      <c r="CC84" s="242" t="s">
        <v>362</v>
      </c>
      <c r="CD84" s="243"/>
    </row>
    <row r="85" spans="74:82" x14ac:dyDescent="0.3">
      <c r="BV85" s="134"/>
      <c r="BW85" s="147">
        <v>36</v>
      </c>
      <c r="BX85" s="242" t="s">
        <v>363</v>
      </c>
      <c r="BY85" s="242"/>
      <c r="BZ85" s="242"/>
      <c r="CA85" s="242"/>
      <c r="CB85" s="242"/>
      <c r="CC85" s="242" t="s">
        <v>364</v>
      </c>
      <c r="CD85" s="243"/>
    </row>
    <row r="86" spans="74:82" x14ac:dyDescent="0.3">
      <c r="BV86" s="134"/>
      <c r="BW86" s="147">
        <v>37</v>
      </c>
      <c r="BX86" s="242" t="s">
        <v>355</v>
      </c>
      <c r="BY86" s="242"/>
      <c r="BZ86" s="242"/>
      <c r="CA86" s="242"/>
      <c r="CB86" s="242"/>
      <c r="CC86" s="242" t="s">
        <v>365</v>
      </c>
      <c r="CD86" s="243"/>
    </row>
    <row r="87" spans="74:82" x14ac:dyDescent="0.3">
      <c r="BV87" s="134"/>
      <c r="BW87" s="147">
        <v>38</v>
      </c>
      <c r="BX87" s="242" t="s">
        <v>366</v>
      </c>
      <c r="BY87" s="242"/>
      <c r="BZ87" s="242"/>
      <c r="CA87" s="242"/>
      <c r="CB87" s="242"/>
      <c r="CC87" s="242" t="s">
        <v>364</v>
      </c>
      <c r="CD87" s="243"/>
    </row>
    <row r="88" spans="74:82" x14ac:dyDescent="0.3">
      <c r="BV88" s="134"/>
      <c r="BW88" s="147">
        <v>39</v>
      </c>
      <c r="BX88" s="242" t="s">
        <v>367</v>
      </c>
      <c r="BY88" s="242"/>
      <c r="BZ88" s="242"/>
      <c r="CA88" s="242"/>
      <c r="CB88" s="242"/>
      <c r="CC88" s="242" t="s">
        <v>73</v>
      </c>
      <c r="CD88" s="243"/>
    </row>
    <row r="89" spans="74:82" x14ac:dyDescent="0.3">
      <c r="BV89" s="134"/>
      <c r="BW89" s="147">
        <v>40</v>
      </c>
      <c r="BX89" s="242" t="s">
        <v>368</v>
      </c>
      <c r="BY89" s="242"/>
      <c r="BZ89" s="242"/>
      <c r="CA89" s="242"/>
      <c r="CB89" s="242"/>
      <c r="CC89" s="242" t="s">
        <v>369</v>
      </c>
      <c r="CD89" s="243"/>
    </row>
    <row r="90" spans="74:82" x14ac:dyDescent="0.3">
      <c r="BV90" s="134"/>
      <c r="BW90" s="196">
        <v>41</v>
      </c>
      <c r="BX90" s="244" t="s">
        <v>370</v>
      </c>
      <c r="BY90" s="244"/>
      <c r="BZ90" s="244"/>
      <c r="CA90" s="244"/>
      <c r="CB90" s="244"/>
      <c r="CC90" s="244" t="s">
        <v>371</v>
      </c>
      <c r="CD90" s="245"/>
    </row>
    <row r="91" spans="74:82" x14ac:dyDescent="0.3">
      <c r="BW91" s="147">
        <v>42</v>
      </c>
      <c r="BX91" s="290" t="s">
        <v>69</v>
      </c>
      <c r="BY91" s="291"/>
      <c r="BZ91" s="291"/>
      <c r="CA91" s="291"/>
      <c r="CB91" s="292"/>
      <c r="CC91" s="242" t="s">
        <v>337</v>
      </c>
      <c r="CD91" s="243"/>
    </row>
    <row r="92" spans="74:82" x14ac:dyDescent="0.3">
      <c r="BW92" s="196">
        <v>43</v>
      </c>
      <c r="BX92" s="244" t="s">
        <v>69</v>
      </c>
      <c r="BY92" s="244"/>
      <c r="BZ92" s="244"/>
      <c r="CA92" s="244"/>
      <c r="CB92" s="244"/>
      <c r="CC92" s="244" t="s">
        <v>377</v>
      </c>
      <c r="CD92" s="245"/>
    </row>
    <row r="93" spans="74:82" x14ac:dyDescent="0.3">
      <c r="BW93" s="147">
        <v>44</v>
      </c>
      <c r="BX93" s="246" t="s">
        <v>309</v>
      </c>
      <c r="BY93" s="246"/>
      <c r="BZ93" s="246"/>
      <c r="CA93" s="246"/>
      <c r="CB93" s="246"/>
      <c r="CC93" s="242" t="s">
        <v>459</v>
      </c>
      <c r="CD93" s="243"/>
    </row>
    <row r="94" spans="74:82" x14ac:dyDescent="0.3">
      <c r="BW94" s="147">
        <v>45</v>
      </c>
      <c r="BX94" s="246" t="s">
        <v>309</v>
      </c>
      <c r="BY94" s="246"/>
      <c r="BZ94" s="246"/>
      <c r="CA94" s="246"/>
      <c r="CB94" s="246"/>
      <c r="CC94" s="242" t="s">
        <v>460</v>
      </c>
      <c r="CD94" s="243"/>
    </row>
    <row r="95" spans="74:82" x14ac:dyDescent="0.3">
      <c r="BW95" s="147">
        <v>46</v>
      </c>
      <c r="BX95" s="242" t="s">
        <v>461</v>
      </c>
      <c r="BY95" s="242"/>
      <c r="BZ95" s="242"/>
      <c r="CA95" s="242"/>
      <c r="CB95" s="242"/>
      <c r="CC95" s="242" t="s">
        <v>463</v>
      </c>
      <c r="CD95" s="243"/>
    </row>
    <row r="96" spans="74:82" ht="15" thickBot="1" x14ac:dyDescent="0.35">
      <c r="BW96" s="150">
        <v>47</v>
      </c>
      <c r="BX96" s="317" t="s">
        <v>467</v>
      </c>
      <c r="BY96" s="317"/>
      <c r="BZ96" s="317"/>
      <c r="CA96" s="317"/>
      <c r="CB96" s="317"/>
      <c r="CC96" s="317" t="s">
        <v>464</v>
      </c>
      <c r="CD96" s="318"/>
    </row>
  </sheetData>
  <sortState ref="B4:BS57">
    <sortCondition descending="1" ref="BS4:BS57"/>
  </sortState>
  <mergeCells count="141">
    <mergeCell ref="CC88:CD88"/>
    <mergeCell ref="CC89:CD89"/>
    <mergeCell ref="CC90:CD90"/>
    <mergeCell ref="A1:BS2"/>
    <mergeCell ref="BX48:CB48"/>
    <mergeCell ref="BX42:CB42"/>
    <mergeCell ref="BX43:CB43"/>
    <mergeCell ref="BX44:CB44"/>
    <mergeCell ref="BX47:CB47"/>
    <mergeCell ref="BX45:CB45"/>
    <mergeCell ref="BX36:CB36"/>
    <mergeCell ref="BX37:CB37"/>
    <mergeCell ref="BX38:CB38"/>
    <mergeCell ref="BX39:CB39"/>
    <mergeCell ref="BX40:CB40"/>
    <mergeCell ref="BX41:CB41"/>
    <mergeCell ref="CC39:CD39"/>
    <mergeCell ref="CC38:CD38"/>
    <mergeCell ref="BX27:CB27"/>
    <mergeCell ref="CC27:CD27"/>
    <mergeCell ref="CC28:CD28"/>
    <mergeCell ref="CC29:CD29"/>
    <mergeCell ref="CC30:CD30"/>
    <mergeCell ref="CC31:CD31"/>
    <mergeCell ref="CC35:CD35"/>
    <mergeCell ref="CC36:CD36"/>
    <mergeCell ref="CC37:CD37"/>
    <mergeCell ref="CC32:CD32"/>
    <mergeCell ref="CC33:CD33"/>
    <mergeCell ref="CC34:CD34"/>
    <mergeCell ref="BX28:CB28"/>
    <mergeCell ref="BX29:CB29"/>
    <mergeCell ref="BX30:CB30"/>
    <mergeCell ref="BX31:CB31"/>
    <mergeCell ref="BX32:CB32"/>
    <mergeCell ref="BX33:CB33"/>
    <mergeCell ref="BX34:CB34"/>
    <mergeCell ref="BX35:CB35"/>
    <mergeCell ref="BX50:CB50"/>
    <mergeCell ref="BX51:CB51"/>
    <mergeCell ref="BX52:CB52"/>
    <mergeCell ref="CC50:CD50"/>
    <mergeCell ref="CC51:CD51"/>
    <mergeCell ref="CC52:CD52"/>
    <mergeCell ref="CC49:CD49"/>
    <mergeCell ref="BX49:CB49"/>
    <mergeCell ref="CC40:CD40"/>
    <mergeCell ref="CC47:CD47"/>
    <mergeCell ref="CC48:CD48"/>
    <mergeCell ref="CC42:CD42"/>
    <mergeCell ref="CC43:CD43"/>
    <mergeCell ref="CC44:CD44"/>
    <mergeCell ref="CC45:CD45"/>
    <mergeCell ref="CC46:CD46"/>
    <mergeCell ref="CC41:CD41"/>
    <mergeCell ref="BX46:CB46"/>
    <mergeCell ref="BX58:CB58"/>
    <mergeCell ref="BX59:CB59"/>
    <mergeCell ref="CC58:CD58"/>
    <mergeCell ref="CC59:CD59"/>
    <mergeCell ref="BX60:CB60"/>
    <mergeCell ref="CC60:CD60"/>
    <mergeCell ref="CC53:CD53"/>
    <mergeCell ref="CC54:CD54"/>
    <mergeCell ref="CC55:CD55"/>
    <mergeCell ref="CC56:CD56"/>
    <mergeCell ref="CC57:CD57"/>
    <mergeCell ref="BX53:CB53"/>
    <mergeCell ref="BX54:CB54"/>
    <mergeCell ref="BX55:CB55"/>
    <mergeCell ref="BX56:CB56"/>
    <mergeCell ref="BX57:CB57"/>
    <mergeCell ref="BX64:CB64"/>
    <mergeCell ref="CC64:CD64"/>
    <mergeCell ref="BX65:CB65"/>
    <mergeCell ref="CC65:CD65"/>
    <mergeCell ref="BX66:CB66"/>
    <mergeCell ref="CC66:CD66"/>
    <mergeCell ref="BX61:CB61"/>
    <mergeCell ref="CC61:CD61"/>
    <mergeCell ref="BX62:CB62"/>
    <mergeCell ref="CC62:CD62"/>
    <mergeCell ref="BX63:CB63"/>
    <mergeCell ref="CC63:CD63"/>
    <mergeCell ref="BX70:CB70"/>
    <mergeCell ref="CC70:CD70"/>
    <mergeCell ref="BX71:CB71"/>
    <mergeCell ref="CC71:CD71"/>
    <mergeCell ref="BX72:CB72"/>
    <mergeCell ref="CC72:CD72"/>
    <mergeCell ref="BX67:CB67"/>
    <mergeCell ref="CC67:CD67"/>
    <mergeCell ref="BX68:CB68"/>
    <mergeCell ref="CC68:CD68"/>
    <mergeCell ref="BX69:CB69"/>
    <mergeCell ref="CC69:CD69"/>
    <mergeCell ref="BX76:CB76"/>
    <mergeCell ref="BX77:CB77"/>
    <mergeCell ref="CC76:CD76"/>
    <mergeCell ref="CC77:CD77"/>
    <mergeCell ref="BX78:CB78"/>
    <mergeCell ref="CC78:CD78"/>
    <mergeCell ref="BX73:CB73"/>
    <mergeCell ref="CC73:CD73"/>
    <mergeCell ref="BX74:CB74"/>
    <mergeCell ref="CC74:CD74"/>
    <mergeCell ref="BX75:CB75"/>
    <mergeCell ref="CC75:CD75"/>
    <mergeCell ref="CC80:CD80"/>
    <mergeCell ref="CC81:CD81"/>
    <mergeCell ref="CC82:CD82"/>
    <mergeCell ref="CC83:CD83"/>
    <mergeCell ref="BX79:CB79"/>
    <mergeCell ref="CC79:CD79"/>
    <mergeCell ref="BX80:CB80"/>
    <mergeCell ref="BX81:CB81"/>
    <mergeCell ref="BX82:CB82"/>
    <mergeCell ref="BX93:CB93"/>
    <mergeCell ref="BX94:CB94"/>
    <mergeCell ref="BX95:CB95"/>
    <mergeCell ref="BX96:CB96"/>
    <mergeCell ref="CC93:CD93"/>
    <mergeCell ref="CC94:CD94"/>
    <mergeCell ref="CC95:CD95"/>
    <mergeCell ref="CC96:CD96"/>
    <mergeCell ref="BX83:CB83"/>
    <mergeCell ref="BX91:CB91"/>
    <mergeCell ref="BX92:CB92"/>
    <mergeCell ref="CC91:CD91"/>
    <mergeCell ref="CC92:CD92"/>
    <mergeCell ref="BX84:CB84"/>
    <mergeCell ref="BX85:CB85"/>
    <mergeCell ref="BX86:CB86"/>
    <mergeCell ref="BX87:CB87"/>
    <mergeCell ref="BX88:CB88"/>
    <mergeCell ref="BX89:CB89"/>
    <mergeCell ref="BX90:CB90"/>
    <mergeCell ref="CC84:CD84"/>
    <mergeCell ref="CC85:CD85"/>
    <mergeCell ref="CC86:CD86"/>
    <mergeCell ref="CC87:CD87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77"/>
  <sheetViews>
    <sheetView topLeftCell="A557" workbookViewId="0">
      <selection activeCell="G577" sqref="G577"/>
    </sheetView>
  </sheetViews>
  <sheetFormatPr defaultRowHeight="14.4" x14ac:dyDescent="0.3"/>
  <cols>
    <col min="1" max="1" width="8.88671875" customWidth="1"/>
    <col min="2" max="2" width="16.21875" customWidth="1"/>
    <col min="6" max="6" width="17.21875" customWidth="1"/>
    <col min="10" max="10" width="16.33203125" customWidth="1"/>
    <col min="14" max="14" width="13" customWidth="1"/>
    <col min="18" max="18" width="12.77734375" customWidth="1"/>
    <col min="22" max="22" width="13.21875" customWidth="1"/>
    <col min="26" max="26" width="13.33203125" customWidth="1"/>
    <col min="28" max="28" width="8.88671875" customWidth="1"/>
    <col min="30" max="30" width="14.21875" customWidth="1"/>
    <col min="32" max="32" width="9.77734375" customWidth="1"/>
    <col min="34" max="34" width="12.88671875" customWidth="1"/>
  </cols>
  <sheetData>
    <row r="1" spans="1:13" x14ac:dyDescent="0.3">
      <c r="A1" s="116" t="s">
        <v>456</v>
      </c>
    </row>
    <row r="2" spans="1:13" x14ac:dyDescent="0.3">
      <c r="A2" s="116">
        <v>135</v>
      </c>
      <c r="B2" s="221" t="s">
        <v>379</v>
      </c>
      <c r="E2" s="116">
        <v>140</v>
      </c>
      <c r="F2" s="221" t="s">
        <v>379</v>
      </c>
      <c r="I2" s="116">
        <v>145</v>
      </c>
      <c r="J2" s="227" t="s">
        <v>378</v>
      </c>
      <c r="M2" s="226" t="s">
        <v>91</v>
      </c>
    </row>
    <row r="3" spans="1:13" x14ac:dyDescent="0.3">
      <c r="A3" s="64">
        <v>7</v>
      </c>
      <c r="B3" s="64" t="s">
        <v>253</v>
      </c>
      <c r="C3" s="64">
        <f>10*3.5</f>
        <v>35</v>
      </c>
      <c r="E3" s="64">
        <v>11</v>
      </c>
      <c r="F3" s="64" t="s">
        <v>253</v>
      </c>
      <c r="G3" s="64">
        <f>6*3.5</f>
        <v>21</v>
      </c>
      <c r="I3" s="64">
        <v>7</v>
      </c>
      <c r="J3" s="64" t="s">
        <v>253</v>
      </c>
      <c r="K3" s="64">
        <f>10*4</f>
        <v>40</v>
      </c>
      <c r="M3" s="226">
        <f>C3+G3+K3</f>
        <v>96</v>
      </c>
    </row>
    <row r="4" spans="1:13" x14ac:dyDescent="0.3">
      <c r="A4" s="64">
        <v>16</v>
      </c>
      <c r="B4" s="64" t="s">
        <v>255</v>
      </c>
      <c r="C4" s="64">
        <f>1*3.5</f>
        <v>3.5</v>
      </c>
      <c r="E4" s="64">
        <v>7</v>
      </c>
      <c r="F4" s="64" t="s">
        <v>255</v>
      </c>
      <c r="G4" s="64">
        <f>10*3.5</f>
        <v>35</v>
      </c>
      <c r="I4" s="64">
        <v>15</v>
      </c>
      <c r="J4" s="64" t="s">
        <v>255</v>
      </c>
      <c r="K4" s="64">
        <f>2*4</f>
        <v>8</v>
      </c>
      <c r="M4" s="226">
        <f>C4+G4+K4</f>
        <v>46.5</v>
      </c>
    </row>
    <row r="5" spans="1:13" x14ac:dyDescent="0.3">
      <c r="A5" s="64">
        <v>6</v>
      </c>
      <c r="B5" s="64" t="s">
        <v>252</v>
      </c>
      <c r="C5" s="64">
        <f>11*3.5</f>
        <v>38.5</v>
      </c>
      <c r="E5" s="64">
        <v>12</v>
      </c>
      <c r="F5" s="64" t="s">
        <v>252</v>
      </c>
      <c r="G5" s="64">
        <f>5*3.5</f>
        <v>17.5</v>
      </c>
      <c r="I5" s="64">
        <v>12</v>
      </c>
      <c r="J5" s="64" t="s">
        <v>252</v>
      </c>
      <c r="K5" s="64">
        <f>5*4</f>
        <v>20</v>
      </c>
      <c r="M5" s="226">
        <f>C5+G5+K5</f>
        <v>76</v>
      </c>
    </row>
    <row r="6" spans="1:13" x14ac:dyDescent="0.3">
      <c r="A6" s="64">
        <v>28</v>
      </c>
      <c r="B6" s="64" t="s">
        <v>219</v>
      </c>
      <c r="C6" s="64"/>
      <c r="E6" s="64">
        <v>21</v>
      </c>
      <c r="F6" s="64" t="s">
        <v>219</v>
      </c>
      <c r="G6" s="64"/>
      <c r="I6" s="64">
        <v>20</v>
      </c>
      <c r="J6" s="64" t="s">
        <v>219</v>
      </c>
      <c r="K6" s="64"/>
      <c r="M6" s="226"/>
    </row>
    <row r="7" spans="1:13" x14ac:dyDescent="0.3">
      <c r="A7" s="64">
        <v>22</v>
      </c>
      <c r="B7" s="64" t="s">
        <v>258</v>
      </c>
      <c r="C7" s="64"/>
      <c r="E7" s="64">
        <v>17</v>
      </c>
      <c r="F7" s="64" t="s">
        <v>258</v>
      </c>
      <c r="G7" s="64"/>
      <c r="I7" s="64">
        <v>21</v>
      </c>
      <c r="J7" s="64" t="s">
        <v>258</v>
      </c>
      <c r="K7" s="64"/>
      <c r="M7" s="226"/>
    </row>
    <row r="8" spans="1:13" x14ac:dyDescent="0.3">
      <c r="A8" s="64">
        <v>23</v>
      </c>
      <c r="B8" s="64" t="s">
        <v>259</v>
      </c>
      <c r="C8" s="64"/>
      <c r="E8" s="64">
        <v>18</v>
      </c>
      <c r="F8" s="64" t="s">
        <v>259</v>
      </c>
      <c r="G8" s="64"/>
      <c r="M8" s="226"/>
    </row>
    <row r="9" spans="1:13" x14ac:dyDescent="0.3">
      <c r="A9" s="64">
        <v>3</v>
      </c>
      <c r="B9" s="64" t="s">
        <v>251</v>
      </c>
      <c r="C9" s="64">
        <f>15*3.5</f>
        <v>52.5</v>
      </c>
      <c r="E9" s="64">
        <v>8</v>
      </c>
      <c r="F9" s="64" t="s">
        <v>251</v>
      </c>
      <c r="G9" s="64">
        <f>9*3.5</f>
        <v>31.5</v>
      </c>
      <c r="I9" s="64">
        <v>14</v>
      </c>
      <c r="J9" s="64" t="s">
        <v>251</v>
      </c>
      <c r="K9" s="64">
        <f>3*4</f>
        <v>12</v>
      </c>
      <c r="M9" s="226">
        <f>C9+G9+K9</f>
        <v>96</v>
      </c>
    </row>
    <row r="10" spans="1:13" x14ac:dyDescent="0.3">
      <c r="A10" s="64">
        <v>14</v>
      </c>
      <c r="B10" s="64" t="s">
        <v>251</v>
      </c>
      <c r="C10" s="64" t="s">
        <v>435</v>
      </c>
      <c r="E10" s="64">
        <v>22</v>
      </c>
      <c r="F10" s="64" t="s">
        <v>251</v>
      </c>
      <c r="G10" s="64" t="s">
        <v>435</v>
      </c>
      <c r="M10" s="226"/>
    </row>
    <row r="11" spans="1:13" x14ac:dyDescent="0.3">
      <c r="A11" s="64">
        <v>9</v>
      </c>
      <c r="B11" s="64" t="s">
        <v>254</v>
      </c>
      <c r="C11" s="64">
        <f>8*3.5</f>
        <v>28</v>
      </c>
      <c r="E11" s="64">
        <v>9</v>
      </c>
      <c r="F11" s="64" t="s">
        <v>254</v>
      </c>
      <c r="G11" s="64">
        <f>8*3.5</f>
        <v>28</v>
      </c>
      <c r="I11" s="64">
        <v>16</v>
      </c>
      <c r="J11" s="64" t="s">
        <v>254</v>
      </c>
      <c r="K11" s="64">
        <f>1*4</f>
        <v>4</v>
      </c>
      <c r="M11" s="226">
        <f>C11+G11+K11</f>
        <v>60</v>
      </c>
    </row>
    <row r="12" spans="1:13" x14ac:dyDescent="0.3">
      <c r="A12" s="64">
        <v>2</v>
      </c>
      <c r="B12" s="64" t="s">
        <v>250</v>
      </c>
      <c r="C12" s="64">
        <f>17*3.5</f>
        <v>59.5</v>
      </c>
      <c r="E12" s="64">
        <v>13</v>
      </c>
      <c r="F12" s="64" t="s">
        <v>250</v>
      </c>
      <c r="G12" s="64">
        <f>4*3.5</f>
        <v>14</v>
      </c>
      <c r="I12" s="64">
        <v>10</v>
      </c>
      <c r="J12" s="64" t="s">
        <v>250</v>
      </c>
      <c r="K12" s="64">
        <f>7*4</f>
        <v>28</v>
      </c>
      <c r="M12" s="226">
        <f>C12+G12+K12</f>
        <v>101.5</v>
      </c>
    </row>
    <row r="13" spans="1:13" x14ac:dyDescent="0.3">
      <c r="A13" s="64">
        <v>8</v>
      </c>
      <c r="B13" s="64" t="s">
        <v>250</v>
      </c>
      <c r="C13" s="64" t="s">
        <v>435</v>
      </c>
      <c r="M13" s="226"/>
    </row>
    <row r="14" spans="1:13" x14ac:dyDescent="0.3">
      <c r="A14" s="64">
        <v>1</v>
      </c>
      <c r="B14" s="64" t="s">
        <v>249</v>
      </c>
      <c r="C14" s="64">
        <f>20*3.5</f>
        <v>70</v>
      </c>
      <c r="E14" s="64">
        <v>1</v>
      </c>
      <c r="F14" s="64" t="s">
        <v>249</v>
      </c>
      <c r="G14" s="64">
        <f>20*3.5</f>
        <v>70</v>
      </c>
      <c r="I14" s="64">
        <v>2</v>
      </c>
      <c r="J14" s="64" t="s">
        <v>249</v>
      </c>
      <c r="K14" s="64">
        <f>17*4</f>
        <v>68</v>
      </c>
      <c r="M14" s="226">
        <f>C14+G14+K14</f>
        <v>208</v>
      </c>
    </row>
    <row r="15" spans="1:13" x14ac:dyDescent="0.3">
      <c r="A15" s="64">
        <v>5</v>
      </c>
      <c r="B15" s="64" t="s">
        <v>249</v>
      </c>
      <c r="C15" s="64" t="s">
        <v>435</v>
      </c>
      <c r="E15" s="64">
        <v>2</v>
      </c>
      <c r="F15" s="64" t="s">
        <v>249</v>
      </c>
      <c r="G15" s="64" t="s">
        <v>435</v>
      </c>
      <c r="I15" s="64">
        <v>9</v>
      </c>
      <c r="J15" s="64" t="s">
        <v>249</v>
      </c>
      <c r="K15" s="64" t="s">
        <v>435</v>
      </c>
      <c r="M15" s="226"/>
    </row>
    <row r="16" spans="1:13" x14ac:dyDescent="0.3">
      <c r="A16" s="64">
        <v>13</v>
      </c>
      <c r="B16" s="64" t="s">
        <v>197</v>
      </c>
      <c r="C16" s="64">
        <f>4*3.5</f>
        <v>14</v>
      </c>
      <c r="E16" s="64">
        <v>5</v>
      </c>
      <c r="F16" s="64" t="s">
        <v>197</v>
      </c>
      <c r="G16" s="64">
        <f>12*3.5</f>
        <v>42</v>
      </c>
      <c r="I16" s="64">
        <v>8</v>
      </c>
      <c r="J16" s="64" t="s">
        <v>197</v>
      </c>
      <c r="K16" s="64">
        <f>9*4</f>
        <v>36</v>
      </c>
      <c r="M16" s="226">
        <f>C16+G16+K16</f>
        <v>92</v>
      </c>
    </row>
    <row r="17" spans="1:13" x14ac:dyDescent="0.3">
      <c r="A17" s="64">
        <v>25</v>
      </c>
      <c r="B17" s="64" t="s">
        <v>260</v>
      </c>
      <c r="C17" s="64"/>
      <c r="E17" s="64">
        <v>15</v>
      </c>
      <c r="F17" s="64" t="s">
        <v>260</v>
      </c>
      <c r="G17" s="64">
        <f>2*3.5</f>
        <v>7</v>
      </c>
      <c r="I17" s="64">
        <v>6</v>
      </c>
      <c r="J17" s="64" t="s">
        <v>260</v>
      </c>
      <c r="K17" s="64">
        <f>11*4</f>
        <v>44</v>
      </c>
      <c r="M17" s="226">
        <f>C17+G17+K17</f>
        <v>51</v>
      </c>
    </row>
    <row r="18" spans="1:13" x14ac:dyDescent="0.3">
      <c r="A18" s="64">
        <v>17</v>
      </c>
      <c r="B18" s="64" t="s">
        <v>256</v>
      </c>
      <c r="C18" s="64"/>
      <c r="E18" s="64">
        <v>22</v>
      </c>
      <c r="F18" s="64" t="s">
        <v>256</v>
      </c>
      <c r="G18" s="64"/>
      <c r="M18" s="226"/>
    </row>
    <row r="19" spans="1:13" x14ac:dyDescent="0.3">
      <c r="A19" s="64">
        <v>19</v>
      </c>
      <c r="B19" s="64" t="s">
        <v>257</v>
      </c>
      <c r="C19" s="64"/>
      <c r="E19" s="64">
        <v>16</v>
      </c>
      <c r="F19" s="64" t="s">
        <v>257</v>
      </c>
      <c r="G19" s="64">
        <f>1*3.5</f>
        <v>3.5</v>
      </c>
      <c r="M19" s="226">
        <f>C19+G19+K19</f>
        <v>3.5</v>
      </c>
    </row>
    <row r="21" spans="1:13" x14ac:dyDescent="0.3">
      <c r="A21" s="116" t="s">
        <v>455</v>
      </c>
    </row>
    <row r="22" spans="1:13" x14ac:dyDescent="0.3">
      <c r="A22" s="116">
        <v>130</v>
      </c>
      <c r="B22" s="122" t="s">
        <v>419</v>
      </c>
      <c r="C22" s="116"/>
      <c r="D22" s="116"/>
      <c r="E22" s="116"/>
      <c r="F22" s="116" t="s">
        <v>413</v>
      </c>
      <c r="G22" s="116"/>
      <c r="H22" s="116"/>
      <c r="I22" s="116">
        <v>135</v>
      </c>
      <c r="J22" s="227" t="s">
        <v>419</v>
      </c>
      <c r="M22" s="226" t="s">
        <v>91</v>
      </c>
    </row>
    <row r="23" spans="1:13" x14ac:dyDescent="0.3">
      <c r="A23" s="64">
        <v>5</v>
      </c>
      <c r="B23" s="64" t="s">
        <v>253</v>
      </c>
      <c r="C23" s="64">
        <f>12*2.5</f>
        <v>30</v>
      </c>
      <c r="E23" s="64">
        <v>5</v>
      </c>
      <c r="F23" s="64" t="s">
        <v>253</v>
      </c>
      <c r="G23" s="64">
        <f>12*2.5</f>
        <v>30</v>
      </c>
      <c r="M23" s="226">
        <f t="shared" ref="M23:M38" si="0">C23+G23+K23</f>
        <v>60</v>
      </c>
    </row>
    <row r="24" spans="1:13" x14ac:dyDescent="0.3">
      <c r="E24" s="64">
        <v>28</v>
      </c>
      <c r="F24" s="64" t="s">
        <v>255</v>
      </c>
      <c r="G24" s="64"/>
      <c r="I24" s="64">
        <v>4</v>
      </c>
      <c r="J24" s="64" t="s">
        <v>255</v>
      </c>
      <c r="K24" s="64">
        <f>13*2.5</f>
        <v>32.5</v>
      </c>
      <c r="M24" s="226">
        <f t="shared" si="0"/>
        <v>32.5</v>
      </c>
    </row>
    <row r="25" spans="1:13" x14ac:dyDescent="0.3">
      <c r="A25" s="64">
        <v>2</v>
      </c>
      <c r="B25" s="64" t="s">
        <v>262</v>
      </c>
      <c r="C25" s="64">
        <f>17*2.5</f>
        <v>42.5</v>
      </c>
      <c r="E25" s="64">
        <v>9</v>
      </c>
      <c r="F25" s="64" t="s">
        <v>262</v>
      </c>
      <c r="G25" s="64">
        <f>8*2.5</f>
        <v>20</v>
      </c>
      <c r="I25" s="64">
        <v>7</v>
      </c>
      <c r="J25" s="64" t="s">
        <v>262</v>
      </c>
      <c r="K25" s="64">
        <f>10*2.5</f>
        <v>25</v>
      </c>
      <c r="M25" s="226">
        <f t="shared" si="0"/>
        <v>87.5</v>
      </c>
    </row>
    <row r="26" spans="1:13" x14ac:dyDescent="0.3">
      <c r="A26" s="64">
        <v>11</v>
      </c>
      <c r="B26" s="64" t="s">
        <v>252</v>
      </c>
      <c r="C26" s="64">
        <f>6*2.5</f>
        <v>15</v>
      </c>
      <c r="E26" s="64">
        <v>13</v>
      </c>
      <c r="F26" s="64" t="s">
        <v>252</v>
      </c>
      <c r="G26" s="64">
        <f>4*2.5</f>
        <v>10</v>
      </c>
      <c r="I26" s="64">
        <v>14</v>
      </c>
      <c r="J26" s="64" t="s">
        <v>252</v>
      </c>
      <c r="K26" s="64">
        <f>3*2.5</f>
        <v>7.5</v>
      </c>
      <c r="M26" s="226">
        <f t="shared" si="0"/>
        <v>32.5</v>
      </c>
    </row>
    <row r="27" spans="1:13" x14ac:dyDescent="0.3">
      <c r="A27" s="64">
        <v>21</v>
      </c>
      <c r="B27" s="64" t="s">
        <v>192</v>
      </c>
      <c r="C27" s="64"/>
      <c r="E27" s="64">
        <v>11</v>
      </c>
      <c r="F27" s="64" t="s">
        <v>192</v>
      </c>
      <c r="G27" s="64">
        <f>6*2.5</f>
        <v>15</v>
      </c>
      <c r="M27" s="226">
        <f t="shared" si="0"/>
        <v>15</v>
      </c>
    </row>
    <row r="28" spans="1:13" x14ac:dyDescent="0.3">
      <c r="E28" s="64">
        <v>10</v>
      </c>
      <c r="F28" s="64" t="s">
        <v>394</v>
      </c>
      <c r="G28" s="64">
        <f>7*2.5</f>
        <v>17.5</v>
      </c>
      <c r="I28" s="64">
        <v>10</v>
      </c>
      <c r="J28" s="64" t="s">
        <v>394</v>
      </c>
      <c r="K28" s="64">
        <f>7*2.5</f>
        <v>17.5</v>
      </c>
      <c r="M28" s="226">
        <f t="shared" si="0"/>
        <v>35</v>
      </c>
    </row>
    <row r="29" spans="1:13" x14ac:dyDescent="0.3">
      <c r="A29" s="64">
        <v>16</v>
      </c>
      <c r="B29" s="64" t="s">
        <v>454</v>
      </c>
      <c r="C29" s="64">
        <f>2*2.5</f>
        <v>5</v>
      </c>
      <c r="E29" s="64">
        <v>2</v>
      </c>
      <c r="F29" s="64" t="s">
        <v>454</v>
      </c>
      <c r="G29" s="64">
        <f>17*2.5</f>
        <v>42.5</v>
      </c>
      <c r="I29" s="64">
        <v>9</v>
      </c>
      <c r="J29" s="64" t="s">
        <v>454</v>
      </c>
      <c r="K29" s="64">
        <f>8*2.5</f>
        <v>20</v>
      </c>
      <c r="M29" s="226">
        <f t="shared" si="0"/>
        <v>67.5</v>
      </c>
    </row>
    <row r="30" spans="1:13" x14ac:dyDescent="0.3">
      <c r="A30" s="64">
        <v>23</v>
      </c>
      <c r="B30" s="64" t="s">
        <v>193</v>
      </c>
      <c r="C30" s="64"/>
      <c r="E30" s="64">
        <v>12</v>
      </c>
      <c r="F30" s="64" t="s">
        <v>193</v>
      </c>
      <c r="G30" s="64">
        <f>5*2.5</f>
        <v>12.5</v>
      </c>
      <c r="I30" s="64">
        <v>11</v>
      </c>
      <c r="J30" s="64" t="s">
        <v>193</v>
      </c>
      <c r="K30" s="64">
        <f>6*2.5</f>
        <v>15</v>
      </c>
      <c r="M30" s="226">
        <f t="shared" si="0"/>
        <v>27.5</v>
      </c>
    </row>
    <row r="31" spans="1:13" x14ac:dyDescent="0.3">
      <c r="A31" s="64">
        <v>3</v>
      </c>
      <c r="B31" s="64" t="s">
        <v>251</v>
      </c>
      <c r="C31" s="64">
        <f>15*2.5</f>
        <v>37.5</v>
      </c>
      <c r="E31" s="64">
        <v>3</v>
      </c>
      <c r="F31" s="64" t="s">
        <v>251</v>
      </c>
      <c r="G31" s="64">
        <f>15*2.5</f>
        <v>37.5</v>
      </c>
      <c r="I31" s="64">
        <v>8</v>
      </c>
      <c r="J31" s="64" t="s">
        <v>251</v>
      </c>
      <c r="K31" s="64">
        <f>9*2.5</f>
        <v>22.5</v>
      </c>
      <c r="M31" s="226">
        <f t="shared" si="0"/>
        <v>97.5</v>
      </c>
    </row>
    <row r="32" spans="1:13" x14ac:dyDescent="0.3">
      <c r="A32" s="64">
        <v>7</v>
      </c>
      <c r="B32" s="64" t="s">
        <v>250</v>
      </c>
      <c r="C32" s="64">
        <f>10*2.5</f>
        <v>25</v>
      </c>
      <c r="E32" s="64">
        <v>16</v>
      </c>
      <c r="F32" s="64" t="s">
        <v>250</v>
      </c>
      <c r="G32" s="64">
        <f>1*2.5</f>
        <v>2.5</v>
      </c>
      <c r="I32" s="64">
        <v>2</v>
      </c>
      <c r="J32" s="64" t="s">
        <v>250</v>
      </c>
      <c r="K32" s="64">
        <f>17*2.5</f>
        <v>42.5</v>
      </c>
      <c r="M32" s="226">
        <f t="shared" si="0"/>
        <v>70</v>
      </c>
    </row>
    <row r="33" spans="1:13" x14ac:dyDescent="0.3">
      <c r="A33" s="64">
        <v>28</v>
      </c>
      <c r="B33" s="64" t="s">
        <v>263</v>
      </c>
      <c r="C33" s="64"/>
      <c r="M33" s="226">
        <f t="shared" si="0"/>
        <v>0</v>
      </c>
    </row>
    <row r="34" spans="1:13" x14ac:dyDescent="0.3">
      <c r="A34" s="64">
        <v>4</v>
      </c>
      <c r="B34" s="64" t="s">
        <v>249</v>
      </c>
      <c r="C34" s="64">
        <f>13*2.5</f>
        <v>32.5</v>
      </c>
      <c r="E34" s="64">
        <v>1</v>
      </c>
      <c r="F34" s="64" t="s">
        <v>249</v>
      </c>
      <c r="G34" s="64">
        <f>20*2.5</f>
        <v>50</v>
      </c>
      <c r="I34" s="64">
        <v>15</v>
      </c>
      <c r="J34" s="64" t="s">
        <v>249</v>
      </c>
      <c r="K34" s="64">
        <f>2*2.5</f>
        <v>5</v>
      </c>
      <c r="M34" s="226">
        <f t="shared" si="0"/>
        <v>87.5</v>
      </c>
    </row>
    <row r="35" spans="1:13" x14ac:dyDescent="0.3">
      <c r="A35" s="64">
        <v>18</v>
      </c>
      <c r="B35" s="64" t="s">
        <v>199</v>
      </c>
      <c r="C35" s="64"/>
      <c r="E35" s="64">
        <v>32</v>
      </c>
      <c r="F35" s="64" t="s">
        <v>199</v>
      </c>
      <c r="G35" s="64"/>
      <c r="I35" s="64">
        <v>19</v>
      </c>
      <c r="J35" s="64" t="s">
        <v>199</v>
      </c>
      <c r="K35" s="64"/>
      <c r="M35" s="226">
        <f t="shared" si="0"/>
        <v>0</v>
      </c>
    </row>
    <row r="36" spans="1:13" x14ac:dyDescent="0.3">
      <c r="A36" s="64">
        <v>6</v>
      </c>
      <c r="B36" s="64" t="s">
        <v>197</v>
      </c>
      <c r="C36" s="64">
        <f>11*2.5</f>
        <v>27.5</v>
      </c>
      <c r="E36" s="64">
        <v>21</v>
      </c>
      <c r="F36" s="64" t="s">
        <v>197</v>
      </c>
      <c r="G36" s="64"/>
      <c r="I36" s="64">
        <v>6</v>
      </c>
      <c r="J36" s="64" t="s">
        <v>197</v>
      </c>
      <c r="K36" s="64">
        <f>11*2.5</f>
        <v>27.5</v>
      </c>
      <c r="M36" s="226">
        <f t="shared" si="0"/>
        <v>55</v>
      </c>
    </row>
    <row r="37" spans="1:13" x14ac:dyDescent="0.3">
      <c r="A37" s="64">
        <v>10</v>
      </c>
      <c r="B37" s="64" t="s">
        <v>260</v>
      </c>
      <c r="C37" s="64">
        <f>7*2.5</f>
        <v>17.5</v>
      </c>
      <c r="E37" s="64">
        <v>31</v>
      </c>
      <c r="F37" s="64" t="s">
        <v>260</v>
      </c>
      <c r="G37" s="64"/>
      <c r="M37" s="226">
        <f t="shared" si="0"/>
        <v>17.5</v>
      </c>
    </row>
    <row r="38" spans="1:13" x14ac:dyDescent="0.3">
      <c r="A38" s="64">
        <v>17</v>
      </c>
      <c r="B38" s="64" t="s">
        <v>256</v>
      </c>
      <c r="C38" s="64">
        <f>1*2.5</f>
        <v>2.5</v>
      </c>
      <c r="E38" s="64">
        <v>7</v>
      </c>
      <c r="F38" s="64" t="s">
        <v>256</v>
      </c>
      <c r="G38" s="64">
        <f>10*2.5</f>
        <v>25</v>
      </c>
      <c r="I38" s="64">
        <v>1</v>
      </c>
      <c r="J38" s="64" t="s">
        <v>256</v>
      </c>
      <c r="K38" s="64">
        <f>20*2.5</f>
        <v>50</v>
      </c>
      <c r="M38" s="226">
        <f t="shared" si="0"/>
        <v>77.5</v>
      </c>
    </row>
    <row r="40" spans="1:13" x14ac:dyDescent="0.3">
      <c r="A40" s="116" t="s">
        <v>49</v>
      </c>
    </row>
    <row r="41" spans="1:13" x14ac:dyDescent="0.3">
      <c r="A41" s="116">
        <v>130</v>
      </c>
      <c r="B41" s="227" t="s">
        <v>419</v>
      </c>
      <c r="E41" s="116" t="s">
        <v>453</v>
      </c>
      <c r="F41" s="227" t="s">
        <v>419</v>
      </c>
      <c r="I41" s="116">
        <v>145</v>
      </c>
      <c r="J41" s="227" t="s">
        <v>439</v>
      </c>
      <c r="L41" s="226" t="s">
        <v>91</v>
      </c>
    </row>
    <row r="42" spans="1:13" x14ac:dyDescent="0.3">
      <c r="E42" s="64">
        <v>4</v>
      </c>
      <c r="F42" s="64" t="s">
        <v>255</v>
      </c>
      <c r="G42" s="64">
        <f>12*2.5</f>
        <v>30</v>
      </c>
      <c r="L42" s="226">
        <f t="shared" ref="L42:L59" si="1">C42+G42+K42</f>
        <v>30</v>
      </c>
    </row>
    <row r="43" spans="1:13" x14ac:dyDescent="0.3">
      <c r="A43" s="64">
        <v>7</v>
      </c>
      <c r="B43" s="64" t="s">
        <v>266</v>
      </c>
      <c r="C43" s="64">
        <f>10*2.5</f>
        <v>25</v>
      </c>
      <c r="E43" s="64">
        <v>11</v>
      </c>
      <c r="F43" s="64" t="s">
        <v>266</v>
      </c>
      <c r="G43" s="64">
        <f>5*2.5</f>
        <v>12.5</v>
      </c>
      <c r="L43" s="226">
        <f t="shared" si="1"/>
        <v>37.5</v>
      </c>
    </row>
    <row r="44" spans="1:13" x14ac:dyDescent="0.3">
      <c r="A44" s="64">
        <v>20</v>
      </c>
      <c r="B44" s="64" t="s">
        <v>252</v>
      </c>
      <c r="C44" s="64"/>
      <c r="E44" s="64">
        <v>3</v>
      </c>
      <c r="F44" s="64" t="s">
        <v>252</v>
      </c>
      <c r="G44" s="64">
        <f>14*2.5</f>
        <v>35</v>
      </c>
      <c r="L44" s="226">
        <f t="shared" si="1"/>
        <v>35</v>
      </c>
    </row>
    <row r="45" spans="1:13" x14ac:dyDescent="0.3">
      <c r="A45" s="64">
        <v>18</v>
      </c>
      <c r="B45" s="64" t="s">
        <v>219</v>
      </c>
      <c r="C45" s="64"/>
      <c r="E45" s="64">
        <v>14</v>
      </c>
      <c r="F45" s="64" t="s">
        <v>219</v>
      </c>
      <c r="G45" s="64">
        <f>2*2.5</f>
        <v>5</v>
      </c>
      <c r="L45" s="226">
        <f t="shared" si="1"/>
        <v>5</v>
      </c>
    </row>
    <row r="46" spans="1:13" x14ac:dyDescent="0.3">
      <c r="A46" s="64">
        <v>5</v>
      </c>
      <c r="B46" s="64" t="s">
        <v>258</v>
      </c>
      <c r="C46" s="64">
        <f>12*2.5</f>
        <v>30</v>
      </c>
      <c r="L46" s="226">
        <f t="shared" si="1"/>
        <v>30</v>
      </c>
    </row>
    <row r="47" spans="1:13" x14ac:dyDescent="0.3">
      <c r="A47" s="64">
        <v>16</v>
      </c>
      <c r="B47" s="64" t="s">
        <v>394</v>
      </c>
      <c r="C47" s="64">
        <f>1*2.5</f>
        <v>2.5</v>
      </c>
      <c r="L47" s="226">
        <f t="shared" si="1"/>
        <v>2.5</v>
      </c>
    </row>
    <row r="48" spans="1:13" x14ac:dyDescent="0.3">
      <c r="A48" s="64">
        <v>14</v>
      </c>
      <c r="B48" s="64" t="s">
        <v>454</v>
      </c>
      <c r="C48" s="64">
        <f>3*2.5</f>
        <v>7.5</v>
      </c>
      <c r="L48" s="226">
        <f t="shared" si="1"/>
        <v>7.5</v>
      </c>
    </row>
    <row r="49" spans="1:12" x14ac:dyDescent="0.3">
      <c r="A49" s="64">
        <v>2</v>
      </c>
      <c r="B49" s="64" t="s">
        <v>251</v>
      </c>
      <c r="C49" s="64">
        <f>17*2.5</f>
        <v>42.5</v>
      </c>
      <c r="E49" s="64">
        <v>9</v>
      </c>
      <c r="F49" s="64" t="s">
        <v>251</v>
      </c>
      <c r="G49" s="64">
        <f>7*2.5</f>
        <v>17.5</v>
      </c>
      <c r="I49" s="64">
        <v>1</v>
      </c>
      <c r="J49" s="64" t="s">
        <v>251</v>
      </c>
      <c r="K49" s="119">
        <f>11*3</f>
        <v>33</v>
      </c>
      <c r="L49" s="226">
        <f t="shared" si="1"/>
        <v>93</v>
      </c>
    </row>
    <row r="50" spans="1:12" x14ac:dyDescent="0.3">
      <c r="A50" s="64">
        <v>12</v>
      </c>
      <c r="B50" s="64" t="s">
        <v>254</v>
      </c>
      <c r="C50" s="64">
        <f>5*2.5</f>
        <v>12.5</v>
      </c>
      <c r="L50" s="226">
        <f t="shared" si="1"/>
        <v>12.5</v>
      </c>
    </row>
    <row r="51" spans="1:12" x14ac:dyDescent="0.3">
      <c r="A51" s="64">
        <v>1</v>
      </c>
      <c r="B51" s="64" t="s">
        <v>250</v>
      </c>
      <c r="C51" s="64">
        <f>20*2.5</f>
        <v>50</v>
      </c>
      <c r="E51" s="64">
        <v>7</v>
      </c>
      <c r="F51" s="64" t="s">
        <v>250</v>
      </c>
      <c r="G51" s="64">
        <f>9*2.5</f>
        <v>22.5</v>
      </c>
      <c r="I51" s="64">
        <v>2</v>
      </c>
      <c r="J51" s="64" t="s">
        <v>250</v>
      </c>
      <c r="K51" s="119">
        <f>8*3</f>
        <v>24</v>
      </c>
      <c r="L51" s="226">
        <f t="shared" si="1"/>
        <v>96.5</v>
      </c>
    </row>
    <row r="52" spans="1:12" x14ac:dyDescent="0.3">
      <c r="A52" s="64">
        <v>17</v>
      </c>
      <c r="B52" s="64" t="s">
        <v>263</v>
      </c>
      <c r="C52" s="64"/>
      <c r="L52" s="226">
        <f t="shared" si="1"/>
        <v>0</v>
      </c>
    </row>
    <row r="53" spans="1:12" x14ac:dyDescent="0.3">
      <c r="A53" s="64">
        <v>11</v>
      </c>
      <c r="B53" s="64" t="s">
        <v>199</v>
      </c>
      <c r="C53" s="64">
        <f>6*2.5</f>
        <v>15</v>
      </c>
      <c r="L53" s="226">
        <f t="shared" si="1"/>
        <v>15</v>
      </c>
    </row>
    <row r="54" spans="1:12" x14ac:dyDescent="0.3">
      <c r="A54" s="64">
        <v>15</v>
      </c>
      <c r="B54" s="64" t="s">
        <v>260</v>
      </c>
      <c r="C54" s="64">
        <f>2*2.5</f>
        <v>5</v>
      </c>
      <c r="E54" s="64">
        <v>2</v>
      </c>
      <c r="F54" s="64" t="s">
        <v>260</v>
      </c>
      <c r="G54" s="64">
        <f>16*2.5</f>
        <v>40</v>
      </c>
      <c r="I54" s="64">
        <v>3</v>
      </c>
      <c r="J54" s="64" t="s">
        <v>260</v>
      </c>
      <c r="K54" s="119">
        <f>6*3</f>
        <v>18</v>
      </c>
      <c r="L54" s="226">
        <f t="shared" si="1"/>
        <v>63</v>
      </c>
    </row>
    <row r="55" spans="1:12" x14ac:dyDescent="0.3">
      <c r="A55" s="64">
        <v>4</v>
      </c>
      <c r="B55" s="64" t="s">
        <v>264</v>
      </c>
      <c r="C55" s="64">
        <f>13*2.5</f>
        <v>32.5</v>
      </c>
      <c r="L55" s="226">
        <f t="shared" si="1"/>
        <v>32.5</v>
      </c>
    </row>
    <row r="56" spans="1:12" x14ac:dyDescent="0.3">
      <c r="A56" s="64">
        <v>13</v>
      </c>
      <c r="B56" s="64" t="s">
        <v>222</v>
      </c>
      <c r="C56" s="64">
        <f>4*2.5</f>
        <v>10</v>
      </c>
      <c r="E56" s="64">
        <v>6</v>
      </c>
      <c r="F56" s="64" t="s">
        <v>222</v>
      </c>
      <c r="G56" s="64">
        <f>10*2.5</f>
        <v>25</v>
      </c>
      <c r="L56" s="226">
        <f t="shared" si="1"/>
        <v>35</v>
      </c>
    </row>
    <row r="57" spans="1:12" x14ac:dyDescent="0.3">
      <c r="A57" s="64">
        <v>21</v>
      </c>
      <c r="B57" s="64" t="s">
        <v>256</v>
      </c>
      <c r="C57" s="64"/>
      <c r="E57" s="64">
        <v>1</v>
      </c>
      <c r="F57" s="64" t="s">
        <v>256</v>
      </c>
      <c r="G57" s="64">
        <f>19*2.5</f>
        <v>47.5</v>
      </c>
      <c r="I57" s="64">
        <v>4</v>
      </c>
      <c r="J57" s="64" t="s">
        <v>256</v>
      </c>
      <c r="K57" s="119">
        <f>4*3</f>
        <v>12</v>
      </c>
      <c r="L57" s="226">
        <f t="shared" si="1"/>
        <v>59.5</v>
      </c>
    </row>
    <row r="58" spans="1:12" x14ac:dyDescent="0.3">
      <c r="A58" s="64">
        <v>6</v>
      </c>
      <c r="B58" s="64" t="s">
        <v>265</v>
      </c>
      <c r="C58" s="64">
        <f>11*2.5</f>
        <v>27.5</v>
      </c>
      <c r="E58" s="64">
        <v>8</v>
      </c>
      <c r="F58" s="64" t="s">
        <v>265</v>
      </c>
      <c r="G58" s="64">
        <f>8*2.5</f>
        <v>20</v>
      </c>
      <c r="L58" s="226">
        <f t="shared" si="1"/>
        <v>47.5</v>
      </c>
    </row>
    <row r="59" spans="1:12" x14ac:dyDescent="0.3">
      <c r="A59" s="64">
        <v>3</v>
      </c>
      <c r="B59" s="64" t="s">
        <v>257</v>
      </c>
      <c r="C59" s="64">
        <f>15*2.5</f>
        <v>37.5</v>
      </c>
      <c r="E59" s="64">
        <v>13</v>
      </c>
      <c r="F59" s="64" t="s">
        <v>257</v>
      </c>
      <c r="G59" s="77">
        <f>3*2.5</f>
        <v>7.5</v>
      </c>
      <c r="I59" s="64">
        <v>5</v>
      </c>
      <c r="J59" s="64" t="s">
        <v>257</v>
      </c>
      <c r="K59" s="119">
        <f>3*3</f>
        <v>9</v>
      </c>
      <c r="L59" s="226">
        <f t="shared" si="1"/>
        <v>54</v>
      </c>
    </row>
    <row r="61" spans="1:12" x14ac:dyDescent="0.3">
      <c r="A61" s="116" t="s">
        <v>51</v>
      </c>
    </row>
    <row r="62" spans="1:12" x14ac:dyDescent="0.3">
      <c r="A62" s="210">
        <v>130</v>
      </c>
      <c r="B62" s="221" t="s">
        <v>419</v>
      </c>
      <c r="E62" s="210" t="s">
        <v>453</v>
      </c>
      <c r="F62" s="221" t="s">
        <v>419</v>
      </c>
      <c r="I62" s="210" t="s">
        <v>91</v>
      </c>
    </row>
    <row r="63" spans="1:12" x14ac:dyDescent="0.3">
      <c r="A63" s="64">
        <v>13</v>
      </c>
      <c r="B63" s="64" t="s">
        <v>452</v>
      </c>
      <c r="C63" s="64">
        <f>1*2.5</f>
        <v>2.5</v>
      </c>
      <c r="E63" s="64"/>
      <c r="F63" s="64"/>
      <c r="G63" s="64"/>
      <c r="I63" s="220">
        <f t="shared" ref="I63:I73" si="2">C63+G63</f>
        <v>2.5</v>
      </c>
    </row>
    <row r="64" spans="1:12" x14ac:dyDescent="0.3">
      <c r="A64" s="64">
        <v>12</v>
      </c>
      <c r="B64" s="64" t="s">
        <v>426</v>
      </c>
      <c r="C64" s="64">
        <f>2*2.5</f>
        <v>5</v>
      </c>
      <c r="E64" s="64">
        <v>3</v>
      </c>
      <c r="F64" s="64" t="s">
        <v>426</v>
      </c>
      <c r="G64" s="64">
        <f>5*2.5</f>
        <v>12.5</v>
      </c>
      <c r="I64" s="220">
        <f t="shared" si="2"/>
        <v>17.5</v>
      </c>
    </row>
    <row r="65" spans="1:13" x14ac:dyDescent="0.3">
      <c r="A65" s="64">
        <v>10</v>
      </c>
      <c r="B65" s="64" t="s">
        <v>425</v>
      </c>
      <c r="C65" s="64">
        <f>4*2.5</f>
        <v>10</v>
      </c>
      <c r="E65" s="64">
        <v>6</v>
      </c>
      <c r="F65" s="64" t="s">
        <v>425</v>
      </c>
      <c r="G65" s="64">
        <f>1*2.5</f>
        <v>2.5</v>
      </c>
      <c r="I65" s="220">
        <f t="shared" si="2"/>
        <v>12.5</v>
      </c>
    </row>
    <row r="66" spans="1:13" x14ac:dyDescent="0.3">
      <c r="A66" s="64">
        <v>4</v>
      </c>
      <c r="B66" s="64" t="s">
        <v>394</v>
      </c>
      <c r="C66" s="64">
        <f>10*2.5</f>
        <v>25</v>
      </c>
      <c r="E66" s="64"/>
      <c r="F66" s="64"/>
      <c r="G66" s="64"/>
      <c r="I66" s="220">
        <f t="shared" si="2"/>
        <v>25</v>
      </c>
    </row>
    <row r="67" spans="1:13" x14ac:dyDescent="0.3">
      <c r="A67" s="64">
        <v>1</v>
      </c>
      <c r="B67" s="64" t="s">
        <v>259</v>
      </c>
      <c r="C67" s="64">
        <f>17*2.5</f>
        <v>42.5</v>
      </c>
      <c r="E67" s="64"/>
      <c r="F67" s="64"/>
      <c r="G67" s="64"/>
      <c r="I67" s="220">
        <f t="shared" si="2"/>
        <v>42.5</v>
      </c>
    </row>
    <row r="68" spans="1:13" x14ac:dyDescent="0.3">
      <c r="A68" s="64">
        <v>5</v>
      </c>
      <c r="B68" s="64" t="s">
        <v>193</v>
      </c>
      <c r="C68" s="64">
        <f>9*2.5</f>
        <v>22.5</v>
      </c>
      <c r="E68" s="64"/>
      <c r="F68" s="64"/>
      <c r="G68" s="64"/>
      <c r="I68" s="220">
        <f t="shared" si="2"/>
        <v>22.5</v>
      </c>
    </row>
    <row r="69" spans="1:13" x14ac:dyDescent="0.3">
      <c r="A69" s="64">
        <v>2</v>
      </c>
      <c r="B69" s="64" t="s">
        <v>418</v>
      </c>
      <c r="C69" s="64">
        <f>14*2.5</f>
        <v>35</v>
      </c>
      <c r="E69" s="64"/>
      <c r="F69" s="64"/>
      <c r="G69" s="64"/>
      <c r="I69" s="220">
        <f t="shared" si="2"/>
        <v>35</v>
      </c>
    </row>
    <row r="70" spans="1:13" x14ac:dyDescent="0.3">
      <c r="A70" s="64">
        <v>9</v>
      </c>
      <c r="B70" s="64" t="s">
        <v>228</v>
      </c>
      <c r="C70" s="64">
        <f>5*2.5</f>
        <v>12.5</v>
      </c>
      <c r="E70" s="64">
        <v>1</v>
      </c>
      <c r="F70" s="64" t="s">
        <v>228</v>
      </c>
      <c r="G70" s="64">
        <f>10*2.5</f>
        <v>25</v>
      </c>
      <c r="I70" s="220">
        <f t="shared" si="2"/>
        <v>37.5</v>
      </c>
    </row>
    <row r="71" spans="1:13" x14ac:dyDescent="0.3">
      <c r="A71" s="64">
        <v>6</v>
      </c>
      <c r="B71" s="64" t="s">
        <v>223</v>
      </c>
      <c r="C71" s="64">
        <f>8*2.5</f>
        <v>20</v>
      </c>
      <c r="E71" s="64"/>
      <c r="F71" s="64"/>
      <c r="G71" s="64"/>
      <c r="I71" s="220">
        <f t="shared" si="2"/>
        <v>20</v>
      </c>
    </row>
    <row r="72" spans="1:13" x14ac:dyDescent="0.3">
      <c r="A72" s="64"/>
      <c r="B72" s="64"/>
      <c r="C72" s="64"/>
      <c r="E72" s="64">
        <v>4</v>
      </c>
      <c r="F72" s="64" t="s">
        <v>395</v>
      </c>
      <c r="G72" s="64">
        <f>3*2.5</f>
        <v>7.5</v>
      </c>
      <c r="I72" s="220">
        <f t="shared" si="2"/>
        <v>7.5</v>
      </c>
    </row>
    <row r="73" spans="1:13" x14ac:dyDescent="0.3">
      <c r="A73" s="64">
        <v>3</v>
      </c>
      <c r="B73" s="64" t="s">
        <v>267</v>
      </c>
      <c r="C73" s="64">
        <f>12*2.5</f>
        <v>30</v>
      </c>
      <c r="E73" s="64">
        <v>2</v>
      </c>
      <c r="F73" s="64" t="s">
        <v>267</v>
      </c>
      <c r="G73" s="64">
        <f>7*2.5</f>
        <v>17.5</v>
      </c>
      <c r="I73" s="220">
        <f t="shared" si="2"/>
        <v>47.5</v>
      </c>
    </row>
    <row r="74" spans="1:13" x14ac:dyDescent="0.3">
      <c r="A74" s="64">
        <v>7</v>
      </c>
      <c r="B74" s="64" t="s">
        <v>267</v>
      </c>
      <c r="C74" s="64" t="s">
        <v>435</v>
      </c>
      <c r="E74" s="64">
        <v>5</v>
      </c>
      <c r="F74" s="64" t="s">
        <v>267</v>
      </c>
      <c r="G74" s="64" t="s">
        <v>451</v>
      </c>
      <c r="I74" s="220"/>
    </row>
    <row r="75" spans="1:13" x14ac:dyDescent="0.3">
      <c r="A75" s="64">
        <v>8</v>
      </c>
      <c r="B75" s="64" t="s">
        <v>195</v>
      </c>
      <c r="C75" s="64">
        <f>6*2.5</f>
        <v>15</v>
      </c>
      <c r="E75" s="64"/>
      <c r="F75" s="64"/>
      <c r="G75" s="64"/>
      <c r="I75" s="220">
        <f>C75+G75</f>
        <v>15</v>
      </c>
    </row>
    <row r="77" spans="1:13" x14ac:dyDescent="0.3">
      <c r="A77" s="225" t="s">
        <v>450</v>
      </c>
    </row>
    <row r="78" spans="1:13" x14ac:dyDescent="0.3">
      <c r="A78" s="210">
        <v>130</v>
      </c>
      <c r="B78" s="221" t="s">
        <v>419</v>
      </c>
      <c r="E78" s="210" t="s">
        <v>413</v>
      </c>
      <c r="F78" s="221" t="s">
        <v>419</v>
      </c>
      <c r="I78" s="210">
        <v>135</v>
      </c>
      <c r="J78" s="221" t="s">
        <v>419</v>
      </c>
      <c r="M78" t="s">
        <v>94</v>
      </c>
    </row>
    <row r="79" spans="1:13" x14ac:dyDescent="0.3">
      <c r="E79" s="64">
        <v>17</v>
      </c>
      <c r="F79" s="64" t="s">
        <v>270</v>
      </c>
      <c r="G79" s="64"/>
      <c r="I79" s="64">
        <v>8</v>
      </c>
      <c r="J79" s="64" t="s">
        <v>270</v>
      </c>
      <c r="K79" s="64">
        <f>9*2.5</f>
        <v>22.5</v>
      </c>
      <c r="M79" s="214">
        <f>C79+G79+K79</f>
        <v>22.5</v>
      </c>
    </row>
    <row r="80" spans="1:13" x14ac:dyDescent="0.3">
      <c r="A80" s="64">
        <v>3</v>
      </c>
      <c r="B80" s="64" t="s">
        <v>253</v>
      </c>
      <c r="C80" s="64">
        <f>15*2.5</f>
        <v>37.5</v>
      </c>
      <c r="E80" s="64">
        <v>9</v>
      </c>
      <c r="F80" s="64" t="s">
        <v>253</v>
      </c>
      <c r="G80" s="64">
        <f>8*2.5</f>
        <v>20</v>
      </c>
      <c r="M80" s="214">
        <f>C80+G80+K80</f>
        <v>57.5</v>
      </c>
    </row>
    <row r="81" spans="1:13" x14ac:dyDescent="0.3">
      <c r="A81" s="64">
        <v>25</v>
      </c>
      <c r="B81" s="64" t="s">
        <v>266</v>
      </c>
      <c r="C81" s="64"/>
      <c r="E81" s="64">
        <v>23</v>
      </c>
      <c r="F81" s="64" t="s">
        <v>266</v>
      </c>
      <c r="G81" s="64"/>
      <c r="I81" s="64">
        <v>24</v>
      </c>
      <c r="J81" s="64" t="s">
        <v>266</v>
      </c>
      <c r="K81" s="64"/>
      <c r="M81" s="214"/>
    </row>
    <row r="82" spans="1:13" x14ac:dyDescent="0.3">
      <c r="A82" s="64">
        <v>18</v>
      </c>
      <c r="B82" s="64" t="s">
        <v>262</v>
      </c>
      <c r="C82" s="64"/>
      <c r="E82" s="64">
        <v>11</v>
      </c>
      <c r="F82" s="64" t="s">
        <v>262</v>
      </c>
      <c r="G82" s="64">
        <f>6*2.5</f>
        <v>15</v>
      </c>
      <c r="I82" s="64">
        <v>3</v>
      </c>
      <c r="J82" s="64" t="s">
        <v>262</v>
      </c>
      <c r="K82" s="64">
        <f>15*2.5</f>
        <v>37.5</v>
      </c>
      <c r="M82" s="214">
        <f>C82+G82+K82</f>
        <v>52.5</v>
      </c>
    </row>
    <row r="83" spans="1:13" x14ac:dyDescent="0.3">
      <c r="A83" s="64">
        <v>2</v>
      </c>
      <c r="B83" s="64" t="s">
        <v>252</v>
      </c>
      <c r="C83" s="64">
        <f>17*2.5</f>
        <v>42.5</v>
      </c>
      <c r="E83" s="64">
        <v>5</v>
      </c>
      <c r="F83" s="64" t="s">
        <v>252</v>
      </c>
      <c r="G83" s="64">
        <f>12*2.5</f>
        <v>30</v>
      </c>
      <c r="M83" s="214">
        <f>C83+G83+K83</f>
        <v>72.5</v>
      </c>
    </row>
    <row r="84" spans="1:13" x14ac:dyDescent="0.3">
      <c r="E84" s="64">
        <v>13</v>
      </c>
      <c r="F84" s="64" t="s">
        <v>394</v>
      </c>
      <c r="G84" s="64">
        <f>4*2.5</f>
        <v>10</v>
      </c>
      <c r="I84" s="64">
        <v>23</v>
      </c>
      <c r="J84" s="64" t="s">
        <v>394</v>
      </c>
      <c r="K84" s="64"/>
      <c r="M84" s="214">
        <f>C84+G84+K84</f>
        <v>10</v>
      </c>
    </row>
    <row r="85" spans="1:13" x14ac:dyDescent="0.3">
      <c r="I85" s="64">
        <v>9</v>
      </c>
      <c r="J85" s="64" t="s">
        <v>271</v>
      </c>
      <c r="K85" s="64">
        <f>8*2.5</f>
        <v>20</v>
      </c>
      <c r="M85" s="214">
        <f>C85+G85+K85</f>
        <v>20</v>
      </c>
    </row>
    <row r="86" spans="1:13" x14ac:dyDescent="0.3">
      <c r="E86" s="64">
        <v>4</v>
      </c>
      <c r="F86" s="64" t="s">
        <v>259</v>
      </c>
      <c r="G86" s="64">
        <f>13*2.5</f>
        <v>32.5</v>
      </c>
      <c r="I86" s="64">
        <v>17</v>
      </c>
      <c r="J86" s="64" t="s">
        <v>259</v>
      </c>
      <c r="K86" s="64"/>
      <c r="M86" s="214">
        <f>C86+G86+K86</f>
        <v>32.5</v>
      </c>
    </row>
    <row r="87" spans="1:13" x14ac:dyDescent="0.3">
      <c r="A87" s="64">
        <v>22</v>
      </c>
      <c r="B87" s="64" t="s">
        <v>445</v>
      </c>
      <c r="C87" s="64"/>
      <c r="M87" s="214"/>
    </row>
    <row r="88" spans="1:13" x14ac:dyDescent="0.3">
      <c r="A88" s="64">
        <v>5</v>
      </c>
      <c r="B88" s="64" t="s">
        <v>251</v>
      </c>
      <c r="C88" s="64">
        <f>12*2.5</f>
        <v>30</v>
      </c>
      <c r="E88" s="64">
        <v>24</v>
      </c>
      <c r="F88" s="64" t="s">
        <v>251</v>
      </c>
      <c r="G88" s="64"/>
      <c r="I88" s="64">
        <v>7</v>
      </c>
      <c r="J88" s="64" t="s">
        <v>251</v>
      </c>
      <c r="K88" s="64">
        <f>10*2.5</f>
        <v>25</v>
      </c>
      <c r="M88" s="214">
        <f>C88+G88+K88</f>
        <v>55</v>
      </c>
    </row>
    <row r="89" spans="1:13" x14ac:dyDescent="0.3">
      <c r="E89" s="64">
        <v>3</v>
      </c>
      <c r="F89" s="64" t="s">
        <v>269</v>
      </c>
      <c r="G89" s="64">
        <f>15*2.5</f>
        <v>37.5</v>
      </c>
      <c r="M89" s="214">
        <f>C89+G89+K89</f>
        <v>37.5</v>
      </c>
    </row>
    <row r="90" spans="1:13" x14ac:dyDescent="0.3">
      <c r="A90" s="64">
        <v>10</v>
      </c>
      <c r="B90" s="64" t="s">
        <v>254</v>
      </c>
      <c r="C90" s="64">
        <f>7*2.5</f>
        <v>17.5</v>
      </c>
      <c r="E90" s="64">
        <v>22</v>
      </c>
      <c r="F90" s="64" t="s">
        <v>254</v>
      </c>
      <c r="G90" s="64"/>
      <c r="I90" s="64">
        <v>1</v>
      </c>
      <c r="J90" s="64" t="s">
        <v>254</v>
      </c>
      <c r="K90" s="64">
        <f>20*2.5</f>
        <v>50</v>
      </c>
      <c r="M90" s="214">
        <f>C90+G90+K90</f>
        <v>67.5</v>
      </c>
    </row>
    <row r="91" spans="1:13" x14ac:dyDescent="0.3">
      <c r="E91" s="64">
        <v>29</v>
      </c>
      <c r="F91" s="64" t="s">
        <v>250</v>
      </c>
      <c r="G91" s="64"/>
      <c r="I91" s="64">
        <v>21</v>
      </c>
      <c r="J91" s="64" t="s">
        <v>250</v>
      </c>
      <c r="K91" s="64"/>
      <c r="M91" s="214"/>
    </row>
    <row r="92" spans="1:13" x14ac:dyDescent="0.3">
      <c r="A92" s="64">
        <v>16</v>
      </c>
      <c r="B92" s="64" t="s">
        <v>418</v>
      </c>
      <c r="C92" s="64">
        <f>1*2.5</f>
        <v>2.5</v>
      </c>
      <c r="E92" s="64">
        <v>21</v>
      </c>
      <c r="F92" s="64" t="s">
        <v>418</v>
      </c>
      <c r="G92" s="64"/>
      <c r="I92" s="64">
        <v>11</v>
      </c>
      <c r="J92" s="64" t="s">
        <v>418</v>
      </c>
      <c r="K92" s="64">
        <f>6*2.5</f>
        <v>15</v>
      </c>
      <c r="M92" s="214">
        <f>C92+G92+K92</f>
        <v>17.5</v>
      </c>
    </row>
    <row r="93" spans="1:13" x14ac:dyDescent="0.3">
      <c r="E93" s="64">
        <v>18</v>
      </c>
      <c r="F93" s="64" t="s">
        <v>249</v>
      </c>
      <c r="G93" s="64"/>
      <c r="I93" s="64">
        <v>16</v>
      </c>
      <c r="J93" s="64" t="s">
        <v>249</v>
      </c>
      <c r="K93" s="64">
        <f>1*2.5</f>
        <v>2.5</v>
      </c>
      <c r="M93" s="214">
        <f>C93+G93+K93</f>
        <v>2.5</v>
      </c>
    </row>
    <row r="94" spans="1:13" x14ac:dyDescent="0.3">
      <c r="A94" s="64">
        <v>9</v>
      </c>
      <c r="B94" s="64" t="s">
        <v>197</v>
      </c>
      <c r="C94" s="64">
        <f>8*2.5</f>
        <v>20</v>
      </c>
      <c r="E94" s="64">
        <v>8</v>
      </c>
      <c r="F94" s="64" t="s">
        <v>197</v>
      </c>
      <c r="G94" s="64">
        <f>9*2.5</f>
        <v>22.5</v>
      </c>
      <c r="I94" s="64">
        <v>10</v>
      </c>
      <c r="J94" s="64" t="s">
        <v>197</v>
      </c>
      <c r="K94" s="64">
        <f>7*2.5</f>
        <v>17.5</v>
      </c>
      <c r="M94" s="214">
        <f>C94+G94+K94</f>
        <v>60</v>
      </c>
    </row>
    <row r="95" spans="1:13" x14ac:dyDescent="0.3">
      <c r="A95" s="64">
        <v>11</v>
      </c>
      <c r="B95" s="64" t="s">
        <v>256</v>
      </c>
      <c r="C95" s="64">
        <f>6*2.5</f>
        <v>15</v>
      </c>
      <c r="E95" s="64">
        <v>12</v>
      </c>
      <c r="F95" s="64" t="s">
        <v>256</v>
      </c>
      <c r="G95" s="64">
        <f>5*2.5</f>
        <v>12.5</v>
      </c>
      <c r="I95" s="64">
        <v>4</v>
      </c>
      <c r="J95" s="64" t="s">
        <v>256</v>
      </c>
      <c r="K95" s="64">
        <f>13*2.5</f>
        <v>32.5</v>
      </c>
      <c r="M95" s="214">
        <f>C95+G95+K95</f>
        <v>60</v>
      </c>
    </row>
    <row r="97" spans="1:13" x14ac:dyDescent="0.3">
      <c r="A97" s="225" t="s">
        <v>449</v>
      </c>
    </row>
    <row r="98" spans="1:13" x14ac:dyDescent="0.3">
      <c r="A98" s="210">
        <v>130</v>
      </c>
      <c r="B98" s="221" t="s">
        <v>419</v>
      </c>
      <c r="E98" s="210" t="s">
        <v>413</v>
      </c>
      <c r="F98" s="221" t="s">
        <v>419</v>
      </c>
      <c r="I98" s="210">
        <v>135</v>
      </c>
      <c r="J98" s="221" t="s">
        <v>419</v>
      </c>
      <c r="M98" t="s">
        <v>91</v>
      </c>
    </row>
    <row r="99" spans="1:13" x14ac:dyDescent="0.3">
      <c r="A99" s="64">
        <v>3</v>
      </c>
      <c r="B99" s="64" t="s">
        <v>270</v>
      </c>
      <c r="C99" s="64">
        <f>15*2.5</f>
        <v>37.5</v>
      </c>
      <c r="E99" s="64">
        <v>13</v>
      </c>
      <c r="F99" s="64" t="s">
        <v>270</v>
      </c>
      <c r="G99" s="64">
        <f>4*2.5</f>
        <v>10</v>
      </c>
      <c r="I99" s="64">
        <v>11</v>
      </c>
      <c r="J99" s="64" t="s">
        <v>270</v>
      </c>
      <c r="K99" s="64">
        <f>4*2.5</f>
        <v>10</v>
      </c>
      <c r="M99" s="210">
        <f>C99+G99+K99</f>
        <v>57.5</v>
      </c>
    </row>
    <row r="100" spans="1:13" x14ac:dyDescent="0.3">
      <c r="A100" s="64">
        <v>23</v>
      </c>
      <c r="B100" s="64" t="s">
        <v>253</v>
      </c>
      <c r="C100" s="64"/>
      <c r="I100" s="64">
        <v>6</v>
      </c>
      <c r="J100" s="64" t="s">
        <v>253</v>
      </c>
      <c r="K100" s="64">
        <f>9*2.5</f>
        <v>22.5</v>
      </c>
      <c r="M100" s="210">
        <f>C100+G100+K100</f>
        <v>22.5</v>
      </c>
    </row>
    <row r="101" spans="1:13" x14ac:dyDescent="0.3">
      <c r="A101" s="64">
        <v>8</v>
      </c>
      <c r="B101" s="64" t="s">
        <v>448</v>
      </c>
      <c r="C101" s="64">
        <f>9*2.5</f>
        <v>22.5</v>
      </c>
      <c r="E101" s="64">
        <v>22</v>
      </c>
      <c r="F101" s="64" t="s">
        <v>448</v>
      </c>
      <c r="G101" s="64"/>
      <c r="M101" s="210">
        <f>C101+G101+K101</f>
        <v>22.5</v>
      </c>
    </row>
    <row r="102" spans="1:13" x14ac:dyDescent="0.3">
      <c r="A102" s="64">
        <v>29</v>
      </c>
      <c r="B102" s="64" t="s">
        <v>275</v>
      </c>
      <c r="C102" s="64"/>
      <c r="M102" s="210"/>
    </row>
    <row r="103" spans="1:13" x14ac:dyDescent="0.3">
      <c r="A103" s="64">
        <v>21</v>
      </c>
      <c r="B103" s="64" t="s">
        <v>445</v>
      </c>
      <c r="C103" s="64"/>
      <c r="M103" s="210"/>
    </row>
    <row r="104" spans="1:13" x14ac:dyDescent="0.3">
      <c r="A104" s="64">
        <v>28</v>
      </c>
      <c r="B104" s="64" t="s">
        <v>193</v>
      </c>
      <c r="C104" s="64"/>
      <c r="E104" s="64">
        <v>18</v>
      </c>
      <c r="F104" s="64" t="s">
        <v>193</v>
      </c>
      <c r="G104" s="64"/>
      <c r="I104" s="64">
        <v>12</v>
      </c>
      <c r="J104" s="64" t="s">
        <v>193</v>
      </c>
      <c r="K104" s="64">
        <f>3*2.5</f>
        <v>7.5</v>
      </c>
      <c r="M104" s="210">
        <f>C104+G104+K104</f>
        <v>7.5</v>
      </c>
    </row>
    <row r="105" spans="1:13" x14ac:dyDescent="0.3">
      <c r="A105" s="64">
        <v>27</v>
      </c>
      <c r="B105" s="64" t="s">
        <v>269</v>
      </c>
      <c r="C105" s="64"/>
      <c r="E105" s="64">
        <v>2</v>
      </c>
      <c r="F105" s="64" t="s">
        <v>269</v>
      </c>
      <c r="G105" s="64">
        <f>17*2.5</f>
        <v>42.5</v>
      </c>
      <c r="I105" s="64">
        <v>7</v>
      </c>
      <c r="J105" s="64" t="s">
        <v>269</v>
      </c>
      <c r="K105" s="64">
        <f>8*2.5</f>
        <v>20</v>
      </c>
      <c r="M105" s="210">
        <f>C105+G105+K105</f>
        <v>62.5</v>
      </c>
    </row>
    <row r="106" spans="1:13" x14ac:dyDescent="0.3">
      <c r="A106" s="64">
        <v>22</v>
      </c>
      <c r="B106" s="64" t="s">
        <v>274</v>
      </c>
      <c r="C106" s="64"/>
      <c r="E106" s="64">
        <v>16</v>
      </c>
      <c r="F106" s="64" t="s">
        <v>274</v>
      </c>
      <c r="G106" s="64">
        <f>1*2.5</f>
        <v>2.5</v>
      </c>
      <c r="M106" s="210">
        <f>C106+G106+K106</f>
        <v>2.5</v>
      </c>
    </row>
    <row r="107" spans="1:13" x14ac:dyDescent="0.3">
      <c r="A107" s="64">
        <v>17</v>
      </c>
      <c r="B107" s="64" t="s">
        <v>447</v>
      </c>
      <c r="C107" s="64"/>
      <c r="M107" s="210"/>
    </row>
    <row r="108" spans="1:13" x14ac:dyDescent="0.3">
      <c r="A108" s="64">
        <v>12</v>
      </c>
      <c r="B108" s="64" t="s">
        <v>254</v>
      </c>
      <c r="C108" s="64">
        <f>5*2.5</f>
        <v>12.5</v>
      </c>
      <c r="E108" s="64">
        <v>9</v>
      </c>
      <c r="F108" s="64" t="s">
        <v>254</v>
      </c>
      <c r="G108" s="64">
        <f>8*2.5</f>
        <v>20</v>
      </c>
      <c r="I108" s="64">
        <v>14</v>
      </c>
      <c r="J108" s="64" t="s">
        <v>254</v>
      </c>
      <c r="K108" s="64">
        <f>1*2.5</f>
        <v>2.5</v>
      </c>
      <c r="M108" s="210">
        <f t="shared" ref="M108:M114" si="3">C108+G108+K108</f>
        <v>35</v>
      </c>
    </row>
    <row r="109" spans="1:13" x14ac:dyDescent="0.3">
      <c r="E109" s="64">
        <v>14</v>
      </c>
      <c r="F109" s="64" t="s">
        <v>250</v>
      </c>
      <c r="G109" s="64">
        <f>3*2.5</f>
        <v>7.5</v>
      </c>
      <c r="I109" s="64">
        <v>13</v>
      </c>
      <c r="J109" s="64" t="s">
        <v>250</v>
      </c>
      <c r="K109" s="64">
        <f>2*2.5</f>
        <v>5</v>
      </c>
      <c r="M109" s="210">
        <f t="shared" si="3"/>
        <v>12.5</v>
      </c>
    </row>
    <row r="110" spans="1:13" x14ac:dyDescent="0.3">
      <c r="I110" s="64">
        <v>1</v>
      </c>
      <c r="J110" s="64" t="s">
        <v>249</v>
      </c>
      <c r="K110" s="64">
        <f>18*2.5</f>
        <v>45</v>
      </c>
      <c r="M110" s="210">
        <f t="shared" si="3"/>
        <v>45</v>
      </c>
    </row>
    <row r="111" spans="1:13" x14ac:dyDescent="0.3">
      <c r="A111" s="64">
        <v>16</v>
      </c>
      <c r="B111" s="64" t="s">
        <v>260</v>
      </c>
      <c r="C111" s="64">
        <f>1*2.5</f>
        <v>2.5</v>
      </c>
      <c r="E111" s="64">
        <v>7</v>
      </c>
      <c r="F111" s="64" t="s">
        <v>260</v>
      </c>
      <c r="G111" s="64">
        <f>10*2.5</f>
        <v>25</v>
      </c>
      <c r="I111" s="64">
        <v>9</v>
      </c>
      <c r="J111" s="64" t="s">
        <v>260</v>
      </c>
      <c r="K111" s="64">
        <f>6*2.5</f>
        <v>15</v>
      </c>
      <c r="M111" s="210">
        <f t="shared" si="3"/>
        <v>42.5</v>
      </c>
    </row>
    <row r="112" spans="1:13" x14ac:dyDescent="0.3">
      <c r="A112" s="64">
        <v>14</v>
      </c>
      <c r="B112" s="64" t="s">
        <v>272</v>
      </c>
      <c r="C112" s="64">
        <f>3*2.5</f>
        <v>7.5</v>
      </c>
      <c r="E112" s="64">
        <v>21</v>
      </c>
      <c r="F112" s="64" t="s">
        <v>272</v>
      </c>
      <c r="G112" s="64"/>
      <c r="M112" s="210">
        <f t="shared" si="3"/>
        <v>7.5</v>
      </c>
    </row>
    <row r="113" spans="1:13" x14ac:dyDescent="0.3">
      <c r="A113" s="64">
        <v>19</v>
      </c>
      <c r="B113" s="64" t="s">
        <v>273</v>
      </c>
      <c r="C113" s="64"/>
      <c r="E113" s="64">
        <v>4</v>
      </c>
      <c r="F113" s="64" t="s">
        <v>273</v>
      </c>
      <c r="G113" s="64">
        <f>13*2.5</f>
        <v>32.5</v>
      </c>
      <c r="I113" s="64">
        <v>10</v>
      </c>
      <c r="J113" s="64" t="s">
        <v>273</v>
      </c>
      <c r="K113" s="64">
        <f>5*2.5</f>
        <v>12.5</v>
      </c>
      <c r="M113" s="210">
        <f t="shared" si="3"/>
        <v>45</v>
      </c>
    </row>
    <row r="114" spans="1:13" x14ac:dyDescent="0.3">
      <c r="A114" s="64">
        <v>2</v>
      </c>
      <c r="B114" s="64" t="s">
        <v>265</v>
      </c>
      <c r="C114" s="64">
        <f>17*2.5</f>
        <v>42.5</v>
      </c>
      <c r="E114" s="64">
        <v>8</v>
      </c>
      <c r="F114" s="64" t="s">
        <v>265</v>
      </c>
      <c r="G114" s="64">
        <f>9*2.5</f>
        <v>22.5</v>
      </c>
      <c r="I114" s="64">
        <v>8</v>
      </c>
      <c r="J114" s="64" t="s">
        <v>265</v>
      </c>
      <c r="K114" s="64">
        <f>7*2.5</f>
        <v>17.5</v>
      </c>
      <c r="M114" s="210">
        <f t="shared" si="3"/>
        <v>82.5</v>
      </c>
    </row>
    <row r="116" spans="1:13" x14ac:dyDescent="0.3">
      <c r="A116" s="210" t="s">
        <v>446</v>
      </c>
    </row>
    <row r="117" spans="1:13" x14ac:dyDescent="0.3">
      <c r="A117" s="210">
        <v>130</v>
      </c>
      <c r="B117" s="221" t="s">
        <v>419</v>
      </c>
      <c r="E117" s="210">
        <v>135</v>
      </c>
      <c r="F117" s="221" t="s">
        <v>419</v>
      </c>
    </row>
    <row r="118" spans="1:13" x14ac:dyDescent="0.3">
      <c r="A118" s="210"/>
      <c r="B118" s="221"/>
      <c r="E118" s="210"/>
      <c r="F118" s="221"/>
      <c r="I118" t="s">
        <v>91</v>
      </c>
    </row>
    <row r="119" spans="1:13" x14ac:dyDescent="0.3">
      <c r="E119" s="64">
        <v>6</v>
      </c>
      <c r="F119" s="64" t="s">
        <v>253</v>
      </c>
      <c r="G119" s="64">
        <f>11*2.5</f>
        <v>27.5</v>
      </c>
      <c r="I119" s="220">
        <f>C119+G119</f>
        <v>27.5</v>
      </c>
    </row>
    <row r="120" spans="1:13" x14ac:dyDescent="0.3">
      <c r="A120" s="64">
        <v>2</v>
      </c>
      <c r="B120" s="64" t="s">
        <v>252</v>
      </c>
      <c r="C120" s="64">
        <f>17*2.5</f>
        <v>42.5</v>
      </c>
      <c r="E120" s="64">
        <v>10</v>
      </c>
      <c r="F120" s="64" t="s">
        <v>252</v>
      </c>
      <c r="G120" s="64">
        <f>7*2.5</f>
        <v>17.5</v>
      </c>
      <c r="I120" s="220">
        <f>C120+G120</f>
        <v>60</v>
      </c>
    </row>
    <row r="121" spans="1:13" x14ac:dyDescent="0.3">
      <c r="A121" s="64">
        <v>9</v>
      </c>
      <c r="B121" s="64" t="s">
        <v>275</v>
      </c>
      <c r="C121" s="64">
        <f>8*2.5</f>
        <v>20</v>
      </c>
      <c r="E121" s="64">
        <v>22</v>
      </c>
      <c r="F121" s="64" t="s">
        <v>275</v>
      </c>
      <c r="G121" s="64"/>
      <c r="I121" s="220">
        <f>C121+G121</f>
        <v>20</v>
      </c>
    </row>
    <row r="122" spans="1:13" x14ac:dyDescent="0.3">
      <c r="A122" s="64">
        <v>26</v>
      </c>
      <c r="B122" s="64" t="s">
        <v>445</v>
      </c>
      <c r="C122" s="64"/>
      <c r="I122" s="220"/>
    </row>
    <row r="123" spans="1:13" x14ac:dyDescent="0.3">
      <c r="A123" s="64">
        <v>14</v>
      </c>
      <c r="B123" s="64" t="s">
        <v>394</v>
      </c>
      <c r="C123" s="64">
        <f>3*2.5</f>
        <v>7.5</v>
      </c>
      <c r="E123" s="64">
        <v>8</v>
      </c>
      <c r="F123" s="64" t="s">
        <v>394</v>
      </c>
      <c r="G123" s="64">
        <f>9*2.5</f>
        <v>22.5</v>
      </c>
      <c r="I123" s="220">
        <f>C123+G123</f>
        <v>30</v>
      </c>
    </row>
    <row r="124" spans="1:13" x14ac:dyDescent="0.3">
      <c r="A124" s="64">
        <v>17</v>
      </c>
      <c r="B124" s="64" t="s">
        <v>193</v>
      </c>
      <c r="C124" s="64"/>
      <c r="E124" s="64">
        <v>21</v>
      </c>
      <c r="F124" s="64" t="s">
        <v>193</v>
      </c>
      <c r="G124" s="64"/>
      <c r="I124" s="220"/>
    </row>
    <row r="125" spans="1:13" x14ac:dyDescent="0.3">
      <c r="A125" s="64">
        <v>20</v>
      </c>
      <c r="B125" s="64" t="s">
        <v>269</v>
      </c>
      <c r="C125" s="64"/>
      <c r="E125" s="64">
        <v>2</v>
      </c>
      <c r="F125" s="64" t="s">
        <v>269</v>
      </c>
      <c r="G125" s="64">
        <f>17*2.5</f>
        <v>42.5</v>
      </c>
      <c r="I125" s="220">
        <f>C125+G125</f>
        <v>42.5</v>
      </c>
    </row>
    <row r="126" spans="1:13" x14ac:dyDescent="0.3">
      <c r="A126" s="64">
        <v>21</v>
      </c>
      <c r="B126" s="64" t="s">
        <v>274</v>
      </c>
      <c r="C126" s="64"/>
      <c r="I126" s="220"/>
    </row>
    <row r="127" spans="1:13" x14ac:dyDescent="0.3">
      <c r="A127" s="64">
        <v>10</v>
      </c>
      <c r="B127" s="64" t="s">
        <v>254</v>
      </c>
      <c r="C127" s="64">
        <f>7*2.5</f>
        <v>17.5</v>
      </c>
      <c r="E127" s="64">
        <v>9</v>
      </c>
      <c r="F127" s="64" t="s">
        <v>254</v>
      </c>
      <c r="G127" s="64">
        <f>8*2.5</f>
        <v>20</v>
      </c>
      <c r="I127" s="220">
        <f>C127+G127</f>
        <v>37.5</v>
      </c>
    </row>
    <row r="128" spans="1:13" x14ac:dyDescent="0.3">
      <c r="A128" s="64">
        <v>4</v>
      </c>
      <c r="B128" s="64" t="s">
        <v>250</v>
      </c>
      <c r="C128" s="64">
        <f>13*2.5</f>
        <v>32.5</v>
      </c>
      <c r="E128" s="64">
        <v>18</v>
      </c>
      <c r="F128" s="64" t="s">
        <v>250</v>
      </c>
      <c r="G128" s="64"/>
      <c r="I128" s="220">
        <f>C128+G128</f>
        <v>32.5</v>
      </c>
    </row>
    <row r="129" spans="1:9" x14ac:dyDescent="0.3">
      <c r="A129" s="64">
        <v>27</v>
      </c>
      <c r="B129" s="64" t="s">
        <v>418</v>
      </c>
      <c r="C129" s="64"/>
      <c r="E129" s="64">
        <v>16</v>
      </c>
      <c r="F129" s="64" t="s">
        <v>418</v>
      </c>
      <c r="G129" s="64">
        <f>1*2.5</f>
        <v>2.5</v>
      </c>
      <c r="I129" s="220">
        <f>C129+G129</f>
        <v>2.5</v>
      </c>
    </row>
    <row r="130" spans="1:9" x14ac:dyDescent="0.3">
      <c r="A130" s="64">
        <v>32</v>
      </c>
      <c r="B130" s="64" t="s">
        <v>249</v>
      </c>
      <c r="C130" s="64">
        <f>20*2.5</f>
        <v>50</v>
      </c>
      <c r="E130" s="64">
        <v>1</v>
      </c>
      <c r="F130" s="64" t="s">
        <v>249</v>
      </c>
      <c r="G130" s="64">
        <f>20*2.5</f>
        <v>50</v>
      </c>
      <c r="I130" s="220">
        <f>C130+G130</f>
        <v>100</v>
      </c>
    </row>
    <row r="131" spans="1:9" x14ac:dyDescent="0.3">
      <c r="A131" s="64">
        <v>13</v>
      </c>
      <c r="B131" s="64" t="s">
        <v>197</v>
      </c>
      <c r="C131" s="64">
        <f>15*2.5</f>
        <v>37.5</v>
      </c>
      <c r="E131" s="64">
        <v>3</v>
      </c>
      <c r="F131" s="64" t="s">
        <v>197</v>
      </c>
      <c r="G131" s="64">
        <f>15*2.5</f>
        <v>37.5</v>
      </c>
      <c r="I131" s="220">
        <f>C131+G131</f>
        <v>75</v>
      </c>
    </row>
    <row r="132" spans="1:9" x14ac:dyDescent="0.3">
      <c r="A132" s="64">
        <v>12</v>
      </c>
      <c r="B132" s="64" t="s">
        <v>276</v>
      </c>
      <c r="C132" s="64"/>
      <c r="I132" s="220"/>
    </row>
    <row r="133" spans="1:9" x14ac:dyDescent="0.3">
      <c r="A133" s="64">
        <v>24</v>
      </c>
      <c r="B133" s="64" t="s">
        <v>257</v>
      </c>
      <c r="C133" s="64"/>
      <c r="E133" s="64">
        <v>17</v>
      </c>
      <c r="F133" s="64" t="s">
        <v>257</v>
      </c>
      <c r="G133" s="64"/>
      <c r="I133" s="220"/>
    </row>
    <row r="135" spans="1:9" x14ac:dyDescent="0.3">
      <c r="A135" s="210" t="s">
        <v>444</v>
      </c>
    </row>
    <row r="136" spans="1:9" x14ac:dyDescent="0.3">
      <c r="A136" s="210">
        <v>130</v>
      </c>
      <c r="B136" s="221" t="s">
        <v>419</v>
      </c>
    </row>
    <row r="137" spans="1:9" x14ac:dyDescent="0.3">
      <c r="A137" s="219"/>
      <c r="B137" s="224"/>
      <c r="C137" s="77"/>
      <c r="D137" s="77"/>
    </row>
    <row r="138" spans="1:9" x14ac:dyDescent="0.3">
      <c r="A138" s="64">
        <v>6</v>
      </c>
      <c r="B138" s="64" t="s">
        <v>283</v>
      </c>
      <c r="C138" s="64">
        <f>4*2.5</f>
        <v>10</v>
      </c>
      <c r="D138" s="77"/>
    </row>
    <row r="139" spans="1:9" x14ac:dyDescent="0.3">
      <c r="A139" s="64">
        <v>9</v>
      </c>
      <c r="B139" s="64" t="s">
        <v>425</v>
      </c>
      <c r="C139" s="64">
        <f>1*2.5</f>
        <v>2.5</v>
      </c>
      <c r="D139" s="77"/>
    </row>
    <row r="140" spans="1:9" x14ac:dyDescent="0.3">
      <c r="A140" s="64">
        <v>1</v>
      </c>
      <c r="B140" s="64" t="s">
        <v>394</v>
      </c>
      <c r="C140" s="64">
        <f>13*2.5</f>
        <v>32.5</v>
      </c>
      <c r="D140" s="77"/>
    </row>
    <row r="141" spans="1:9" x14ac:dyDescent="0.3">
      <c r="A141" s="64">
        <v>2</v>
      </c>
      <c r="B141" s="64" t="s">
        <v>394</v>
      </c>
      <c r="C141" s="64" t="s">
        <v>435</v>
      </c>
      <c r="D141" s="77"/>
    </row>
    <row r="142" spans="1:9" x14ac:dyDescent="0.3">
      <c r="A142" s="64">
        <v>4</v>
      </c>
      <c r="B142" s="64" t="s">
        <v>284</v>
      </c>
      <c r="C142" s="64">
        <f>6*2.5</f>
        <v>15</v>
      </c>
      <c r="D142" s="77"/>
    </row>
    <row r="143" spans="1:9" x14ac:dyDescent="0.3">
      <c r="A143" s="64">
        <v>8</v>
      </c>
      <c r="B143" s="64" t="s">
        <v>284</v>
      </c>
      <c r="C143" s="64" t="s">
        <v>435</v>
      </c>
      <c r="D143" s="77"/>
    </row>
    <row r="144" spans="1:9" x14ac:dyDescent="0.3">
      <c r="A144" s="64">
        <v>3</v>
      </c>
      <c r="B144" s="64" t="s">
        <v>278</v>
      </c>
      <c r="C144" s="64">
        <f>8*2.5</f>
        <v>20</v>
      </c>
      <c r="D144" s="77"/>
    </row>
    <row r="145" spans="1:4" x14ac:dyDescent="0.3">
      <c r="A145" s="64">
        <v>5</v>
      </c>
      <c r="B145" s="64" t="s">
        <v>265</v>
      </c>
      <c r="C145" s="64">
        <f>5*2.5</f>
        <v>12.5</v>
      </c>
      <c r="D145" s="77"/>
    </row>
    <row r="146" spans="1:4" x14ac:dyDescent="0.3">
      <c r="A146" s="64">
        <v>7</v>
      </c>
      <c r="B146" s="64" t="s">
        <v>265</v>
      </c>
      <c r="C146" s="64" t="s">
        <v>435</v>
      </c>
      <c r="D146" s="77"/>
    </row>
    <row r="147" spans="1:4" x14ac:dyDescent="0.3">
      <c r="A147" s="77"/>
      <c r="B147" s="77"/>
      <c r="C147" s="77"/>
      <c r="D147" s="77"/>
    </row>
    <row r="148" spans="1:4" x14ac:dyDescent="0.3">
      <c r="A148" s="219" t="s">
        <v>443</v>
      </c>
      <c r="B148" s="77"/>
      <c r="C148" s="77"/>
      <c r="D148" s="77"/>
    </row>
    <row r="149" spans="1:4" x14ac:dyDescent="0.3">
      <c r="A149" s="218">
        <v>130</v>
      </c>
      <c r="B149" s="223" t="s">
        <v>419</v>
      </c>
      <c r="C149" s="77"/>
      <c r="D149" s="77"/>
    </row>
    <row r="150" spans="1:4" x14ac:dyDescent="0.3">
      <c r="A150" s="77"/>
      <c r="B150" s="77"/>
      <c r="C150" s="77"/>
      <c r="D150" s="77"/>
    </row>
    <row r="151" spans="1:4" x14ac:dyDescent="0.3">
      <c r="A151" s="64">
        <v>3</v>
      </c>
      <c r="B151" s="64" t="s">
        <v>253</v>
      </c>
      <c r="C151" s="64">
        <f>10*2.5</f>
        <v>25</v>
      </c>
      <c r="D151" s="77"/>
    </row>
    <row r="152" spans="1:4" x14ac:dyDescent="0.3">
      <c r="A152" s="64">
        <v>8</v>
      </c>
      <c r="B152" s="64" t="s">
        <v>252</v>
      </c>
      <c r="C152" s="64">
        <f>4*2.5</f>
        <v>10</v>
      </c>
      <c r="D152" s="77"/>
    </row>
    <row r="153" spans="1:4" x14ac:dyDescent="0.3">
      <c r="A153" s="64">
        <v>10</v>
      </c>
      <c r="B153" s="64" t="s">
        <v>280</v>
      </c>
      <c r="C153" s="64">
        <f>2*2.5</f>
        <v>5</v>
      </c>
    </row>
    <row r="154" spans="1:4" x14ac:dyDescent="0.3">
      <c r="A154" s="64">
        <v>4</v>
      </c>
      <c r="B154" s="64" t="s">
        <v>277</v>
      </c>
      <c r="C154" s="64">
        <f>8*2.5</f>
        <v>20</v>
      </c>
    </row>
    <row r="155" spans="1:4" x14ac:dyDescent="0.3">
      <c r="A155" s="64">
        <v>5</v>
      </c>
      <c r="B155" s="64" t="s">
        <v>277</v>
      </c>
      <c r="C155" s="64" t="s">
        <v>435</v>
      </c>
    </row>
    <row r="156" spans="1:4" x14ac:dyDescent="0.3">
      <c r="A156" s="64">
        <v>9</v>
      </c>
      <c r="B156" s="64" t="s">
        <v>442</v>
      </c>
      <c r="C156" s="64" t="s">
        <v>435</v>
      </c>
    </row>
    <row r="157" spans="1:4" x14ac:dyDescent="0.3">
      <c r="A157" s="64">
        <v>1</v>
      </c>
      <c r="B157" s="64" t="s">
        <v>249</v>
      </c>
      <c r="C157" s="64">
        <f>15*2.5</f>
        <v>37.5</v>
      </c>
    </row>
    <row r="158" spans="1:4" x14ac:dyDescent="0.3">
      <c r="A158" s="64">
        <v>6</v>
      </c>
      <c r="B158" s="64" t="s">
        <v>249</v>
      </c>
      <c r="C158" s="64" t="s">
        <v>435</v>
      </c>
    </row>
    <row r="159" spans="1:4" x14ac:dyDescent="0.3">
      <c r="A159" s="64">
        <v>11</v>
      </c>
      <c r="B159" s="64" t="s">
        <v>282</v>
      </c>
      <c r="C159" s="64">
        <f>1*2.5</f>
        <v>2.5</v>
      </c>
    </row>
    <row r="160" spans="1:4" x14ac:dyDescent="0.3">
      <c r="A160" s="64">
        <v>7</v>
      </c>
      <c r="B160" s="64" t="s">
        <v>276</v>
      </c>
      <c r="C160" s="64">
        <f>5*2.5</f>
        <v>12.5</v>
      </c>
    </row>
    <row r="161" spans="1:15" x14ac:dyDescent="0.3">
      <c r="A161" s="64">
        <v>2</v>
      </c>
      <c r="B161" s="64" t="s">
        <v>279</v>
      </c>
      <c r="C161" s="64">
        <f>12*2.5</f>
        <v>30</v>
      </c>
    </row>
    <row r="163" spans="1:15" x14ac:dyDescent="0.3">
      <c r="A163" s="210" t="s">
        <v>441</v>
      </c>
    </row>
    <row r="164" spans="1:15" x14ac:dyDescent="0.3">
      <c r="A164" s="210">
        <v>130</v>
      </c>
      <c r="B164" s="221" t="s">
        <v>419</v>
      </c>
      <c r="E164" s="210">
        <v>130</v>
      </c>
      <c r="F164" s="221" t="s">
        <v>419</v>
      </c>
      <c r="I164" s="210">
        <v>135</v>
      </c>
      <c r="J164" s="221" t="s">
        <v>419</v>
      </c>
    </row>
    <row r="165" spans="1:15" x14ac:dyDescent="0.3">
      <c r="M165" t="s">
        <v>91</v>
      </c>
      <c r="O165" t="s">
        <v>440</v>
      </c>
    </row>
    <row r="166" spans="1:15" x14ac:dyDescent="0.3">
      <c r="A166" s="64">
        <v>3</v>
      </c>
      <c r="B166" s="64" t="s">
        <v>270</v>
      </c>
      <c r="C166" s="64">
        <f>15*2.5</f>
        <v>37.5</v>
      </c>
      <c r="I166" s="64">
        <v>3</v>
      </c>
      <c r="J166" s="64" t="s">
        <v>270</v>
      </c>
      <c r="K166" s="64">
        <f>15*2.5</f>
        <v>37.5</v>
      </c>
      <c r="M166" s="214">
        <f t="shared" ref="M166:M183" si="4">C166+G166+K166</f>
        <v>75</v>
      </c>
    </row>
    <row r="167" spans="1:15" x14ac:dyDescent="0.3">
      <c r="E167" s="64">
        <v>5</v>
      </c>
      <c r="F167" s="64" t="s">
        <v>281</v>
      </c>
      <c r="G167" s="64">
        <f>12*2.5</f>
        <v>30</v>
      </c>
      <c r="I167" s="64">
        <v>11</v>
      </c>
      <c r="J167" s="64" t="s">
        <v>281</v>
      </c>
      <c r="K167" s="64">
        <f>6*2.5</f>
        <v>15</v>
      </c>
      <c r="M167" s="214">
        <f t="shared" si="4"/>
        <v>45</v>
      </c>
    </row>
    <row r="168" spans="1:15" x14ac:dyDescent="0.3">
      <c r="A168" s="64">
        <v>11</v>
      </c>
      <c r="B168" s="64" t="s">
        <v>425</v>
      </c>
      <c r="C168" s="64">
        <f>6*2.5</f>
        <v>15</v>
      </c>
      <c r="M168" s="214">
        <f t="shared" si="4"/>
        <v>15</v>
      </c>
    </row>
    <row r="169" spans="1:15" x14ac:dyDescent="0.3">
      <c r="A169" s="64">
        <v>4</v>
      </c>
      <c r="B169" s="64" t="s">
        <v>394</v>
      </c>
      <c r="C169" s="64">
        <f>13*2.5</f>
        <v>32.5</v>
      </c>
      <c r="I169" s="64">
        <v>4</v>
      </c>
      <c r="J169" s="64" t="s">
        <v>394</v>
      </c>
      <c r="K169" s="64">
        <f>13*2.5</f>
        <v>32.5</v>
      </c>
      <c r="M169" s="214">
        <f t="shared" si="4"/>
        <v>65</v>
      </c>
    </row>
    <row r="170" spans="1:15" x14ac:dyDescent="0.3">
      <c r="A170" s="64">
        <v>16</v>
      </c>
      <c r="B170" s="64" t="s">
        <v>250</v>
      </c>
      <c r="C170" s="64">
        <f>1*2.5</f>
        <v>2.5</v>
      </c>
      <c r="I170" s="64">
        <v>2</v>
      </c>
      <c r="J170" s="64" t="s">
        <v>250</v>
      </c>
      <c r="K170" s="64">
        <f>17*2.5</f>
        <v>42.5</v>
      </c>
      <c r="M170" s="222">
        <f t="shared" si="4"/>
        <v>45</v>
      </c>
      <c r="O170" s="210">
        <f>M170+M191</f>
        <v>47.5</v>
      </c>
    </row>
    <row r="171" spans="1:15" x14ac:dyDescent="0.3">
      <c r="E171" s="64">
        <v>3</v>
      </c>
      <c r="F171" s="64" t="s">
        <v>259</v>
      </c>
      <c r="G171" s="64">
        <f>15*2.5</f>
        <v>37.5</v>
      </c>
      <c r="I171" s="64">
        <v>5</v>
      </c>
      <c r="J171" s="64" t="s">
        <v>259</v>
      </c>
      <c r="K171" s="64">
        <f>12*2.5</f>
        <v>30</v>
      </c>
      <c r="M171" s="214">
        <f t="shared" si="4"/>
        <v>67.5</v>
      </c>
    </row>
    <row r="172" spans="1:15" x14ac:dyDescent="0.3">
      <c r="I172" s="64">
        <v>16</v>
      </c>
      <c r="J172" s="64" t="s">
        <v>193</v>
      </c>
      <c r="K172" s="64">
        <f>1*2.5</f>
        <v>2.5</v>
      </c>
      <c r="M172" s="214">
        <f t="shared" si="4"/>
        <v>2.5</v>
      </c>
    </row>
    <row r="173" spans="1:15" x14ac:dyDescent="0.3">
      <c r="E173" s="64">
        <v>7</v>
      </c>
      <c r="F173" s="64" t="s">
        <v>251</v>
      </c>
      <c r="G173" s="64">
        <f>10*2.5</f>
        <v>25</v>
      </c>
      <c r="I173" s="64">
        <v>15</v>
      </c>
      <c r="J173" s="64" t="s">
        <v>251</v>
      </c>
      <c r="K173" s="64">
        <f>2*2.5</f>
        <v>5</v>
      </c>
      <c r="M173" s="222">
        <f t="shared" si="4"/>
        <v>30</v>
      </c>
      <c r="O173" s="210">
        <f>M173+M189</f>
        <v>110</v>
      </c>
    </row>
    <row r="174" spans="1:15" x14ac:dyDescent="0.3">
      <c r="A174" s="64">
        <v>9</v>
      </c>
      <c r="B174" s="64" t="s">
        <v>285</v>
      </c>
      <c r="C174" s="64">
        <f>8*2.5</f>
        <v>20</v>
      </c>
      <c r="E174" s="64">
        <v>4</v>
      </c>
      <c r="F174" s="64" t="s">
        <v>285</v>
      </c>
      <c r="G174" s="64">
        <f>13*2.5</f>
        <v>32.5</v>
      </c>
      <c r="M174" s="214">
        <f t="shared" si="4"/>
        <v>52.5</v>
      </c>
    </row>
    <row r="175" spans="1:15" x14ac:dyDescent="0.3">
      <c r="E175" s="64">
        <v>14</v>
      </c>
      <c r="F175" s="64" t="s">
        <v>418</v>
      </c>
      <c r="G175" s="64">
        <f>3*2.5</f>
        <v>7.5</v>
      </c>
      <c r="M175" s="214">
        <f t="shared" si="4"/>
        <v>7.5</v>
      </c>
    </row>
    <row r="176" spans="1:15" x14ac:dyDescent="0.3">
      <c r="A176" s="64">
        <v>1</v>
      </c>
      <c r="B176" s="64" t="s">
        <v>249</v>
      </c>
      <c r="C176" s="64">
        <f>20*2.5</f>
        <v>50</v>
      </c>
      <c r="E176" s="64">
        <v>1</v>
      </c>
      <c r="F176" s="64" t="s">
        <v>249</v>
      </c>
      <c r="G176" s="64">
        <f>20*2.5</f>
        <v>50</v>
      </c>
      <c r="I176" s="64">
        <v>1</v>
      </c>
      <c r="J176" s="64" t="s">
        <v>249</v>
      </c>
      <c r="K176" s="64">
        <f>20*2.5</f>
        <v>50</v>
      </c>
      <c r="M176" s="222">
        <f t="shared" si="4"/>
        <v>150</v>
      </c>
      <c r="O176" s="210">
        <f>M176+M192</f>
        <v>167.5</v>
      </c>
    </row>
    <row r="177" spans="1:15" x14ac:dyDescent="0.3">
      <c r="A177" s="64">
        <v>8</v>
      </c>
      <c r="B177" s="64" t="s">
        <v>393</v>
      </c>
      <c r="C177" s="64">
        <f>9*2.5</f>
        <v>22.5</v>
      </c>
      <c r="M177" s="214">
        <f t="shared" si="4"/>
        <v>22.5</v>
      </c>
    </row>
    <row r="178" spans="1:15" x14ac:dyDescent="0.3">
      <c r="A178" s="64">
        <v>14</v>
      </c>
      <c r="B178" s="64" t="s">
        <v>260</v>
      </c>
      <c r="C178" s="64">
        <f>3*2.5</f>
        <v>7.5</v>
      </c>
      <c r="M178" s="222">
        <f t="shared" si="4"/>
        <v>7.5</v>
      </c>
      <c r="O178" s="210">
        <f>M178+M194</f>
        <v>100</v>
      </c>
    </row>
    <row r="179" spans="1:15" x14ac:dyDescent="0.3">
      <c r="A179" s="64">
        <v>6</v>
      </c>
      <c r="B179" s="64" t="s">
        <v>272</v>
      </c>
      <c r="C179" s="64">
        <f>11*2.5</f>
        <v>27.5</v>
      </c>
      <c r="M179" s="214">
        <f t="shared" si="4"/>
        <v>27.5</v>
      </c>
    </row>
    <row r="180" spans="1:15" x14ac:dyDescent="0.3">
      <c r="E180" s="64">
        <v>15</v>
      </c>
      <c r="F180" s="64" t="s">
        <v>256</v>
      </c>
      <c r="G180" s="64">
        <f>2*2.5</f>
        <v>5</v>
      </c>
      <c r="M180" s="214">
        <f t="shared" si="4"/>
        <v>5</v>
      </c>
    </row>
    <row r="181" spans="1:15" x14ac:dyDescent="0.3">
      <c r="A181" s="64">
        <v>2</v>
      </c>
      <c r="B181" s="64" t="s">
        <v>265</v>
      </c>
      <c r="C181" s="64">
        <f>17*2.5</f>
        <v>42.5</v>
      </c>
      <c r="E181" s="64">
        <v>2</v>
      </c>
      <c r="F181" s="64" t="s">
        <v>265</v>
      </c>
      <c r="G181" s="64">
        <f>17*2.5</f>
        <v>42.5</v>
      </c>
      <c r="M181" s="214">
        <f t="shared" si="4"/>
        <v>85</v>
      </c>
    </row>
    <row r="182" spans="1:15" x14ac:dyDescent="0.3">
      <c r="E182" s="64">
        <v>13</v>
      </c>
      <c r="F182" s="64" t="s">
        <v>195</v>
      </c>
      <c r="G182" s="64">
        <f>4*2.5</f>
        <v>10</v>
      </c>
      <c r="I182" s="64">
        <v>14</v>
      </c>
      <c r="J182" s="64" t="s">
        <v>195</v>
      </c>
      <c r="K182" s="64">
        <f>3*2.5</f>
        <v>7.5</v>
      </c>
      <c r="M182" s="214">
        <f t="shared" si="4"/>
        <v>17.5</v>
      </c>
    </row>
    <row r="183" spans="1:15" x14ac:dyDescent="0.3">
      <c r="A183" s="64">
        <v>13</v>
      </c>
      <c r="B183" s="64" t="s">
        <v>257</v>
      </c>
      <c r="C183" s="64">
        <f>4*2.5</f>
        <v>10</v>
      </c>
      <c r="E183" s="64">
        <v>10</v>
      </c>
      <c r="F183" s="64" t="s">
        <v>257</v>
      </c>
      <c r="G183" s="64">
        <f>7*2.5</f>
        <v>17.5</v>
      </c>
      <c r="I183" s="64">
        <v>13</v>
      </c>
      <c r="J183" s="64" t="s">
        <v>257</v>
      </c>
      <c r="K183" s="64">
        <f>4*2.5</f>
        <v>10</v>
      </c>
      <c r="M183" s="222">
        <f t="shared" si="4"/>
        <v>37.5</v>
      </c>
      <c r="O183" s="210">
        <f>M183+M196</f>
        <v>65</v>
      </c>
    </row>
    <row r="185" spans="1:15" x14ac:dyDescent="0.3">
      <c r="A185" s="210">
        <v>140</v>
      </c>
      <c r="B185" s="210" t="s">
        <v>419</v>
      </c>
      <c r="C185" s="210"/>
      <c r="D185" s="210"/>
      <c r="E185" s="210">
        <v>140</v>
      </c>
      <c r="F185" s="210" t="s">
        <v>419</v>
      </c>
      <c r="G185" s="210"/>
      <c r="H185" s="210"/>
      <c r="I185" s="210">
        <v>145</v>
      </c>
      <c r="J185" s="210" t="s">
        <v>439</v>
      </c>
    </row>
    <row r="186" spans="1:15" x14ac:dyDescent="0.3">
      <c r="M186" t="s">
        <v>91</v>
      </c>
    </row>
    <row r="187" spans="1:15" x14ac:dyDescent="0.3">
      <c r="E187" s="64">
        <v>11</v>
      </c>
      <c r="F187" s="64" t="s">
        <v>253</v>
      </c>
      <c r="G187" s="64">
        <f>6*2.5</f>
        <v>15</v>
      </c>
      <c r="I187" s="64">
        <v>16</v>
      </c>
      <c r="J187" s="64" t="s">
        <v>253</v>
      </c>
      <c r="K187" s="64">
        <f>1*3</f>
        <v>3</v>
      </c>
      <c r="M187" s="214">
        <f t="shared" ref="M187:M198" si="5">C187+G187+K187</f>
        <v>18</v>
      </c>
    </row>
    <row r="188" spans="1:15" x14ac:dyDescent="0.3">
      <c r="A188" s="64">
        <v>1</v>
      </c>
      <c r="B188" s="64" t="s">
        <v>252</v>
      </c>
      <c r="C188" s="64">
        <f>20*2.5</f>
        <v>50</v>
      </c>
      <c r="E188" s="64">
        <v>3</v>
      </c>
      <c r="F188" s="64" t="s">
        <v>252</v>
      </c>
      <c r="G188" s="64">
        <f>15*2.5</f>
        <v>37.5</v>
      </c>
      <c r="I188" s="64">
        <v>10</v>
      </c>
      <c r="J188" s="64" t="s">
        <v>252</v>
      </c>
      <c r="K188" s="64">
        <f>7*3</f>
        <v>21</v>
      </c>
      <c r="M188" s="214">
        <f t="shared" si="5"/>
        <v>108.5</v>
      </c>
    </row>
    <row r="189" spans="1:15" x14ac:dyDescent="0.3">
      <c r="A189" s="64">
        <v>5</v>
      </c>
      <c r="B189" s="64" t="s">
        <v>251</v>
      </c>
      <c r="C189" s="64">
        <f>12*2.5</f>
        <v>30</v>
      </c>
      <c r="E189" s="64">
        <v>9</v>
      </c>
      <c r="F189" s="64" t="s">
        <v>251</v>
      </c>
      <c r="G189" s="64">
        <f>8*2.5</f>
        <v>20</v>
      </c>
      <c r="I189" s="64">
        <v>7</v>
      </c>
      <c r="J189" s="64" t="s">
        <v>251</v>
      </c>
      <c r="K189" s="64">
        <f>10*3</f>
        <v>30</v>
      </c>
      <c r="M189" s="214">
        <f t="shared" si="5"/>
        <v>80</v>
      </c>
    </row>
    <row r="190" spans="1:15" x14ac:dyDescent="0.3">
      <c r="E190" s="64">
        <v>12</v>
      </c>
      <c r="F190" s="64" t="s">
        <v>254</v>
      </c>
      <c r="G190" s="64">
        <f>5*2.5</f>
        <v>12.5</v>
      </c>
      <c r="I190" s="64">
        <v>4</v>
      </c>
      <c r="J190" s="64" t="s">
        <v>254</v>
      </c>
      <c r="K190" s="64">
        <f>13*3</f>
        <v>39</v>
      </c>
      <c r="M190" s="214">
        <f t="shared" si="5"/>
        <v>51.5</v>
      </c>
    </row>
    <row r="191" spans="1:15" x14ac:dyDescent="0.3">
      <c r="A191" s="64">
        <v>16</v>
      </c>
      <c r="B191" s="64" t="s">
        <v>250</v>
      </c>
      <c r="C191" s="64">
        <f>1*2.5</f>
        <v>2.5</v>
      </c>
      <c r="M191" s="214">
        <f t="shared" si="5"/>
        <v>2.5</v>
      </c>
    </row>
    <row r="192" spans="1:15" x14ac:dyDescent="0.3">
      <c r="E192" s="64">
        <v>10</v>
      </c>
      <c r="F192" s="64" t="s">
        <v>249</v>
      </c>
      <c r="G192" s="64">
        <f>7*2.5</f>
        <v>17.5</v>
      </c>
      <c r="M192" s="214">
        <f t="shared" si="5"/>
        <v>17.5</v>
      </c>
    </row>
    <row r="193" spans="1:13" x14ac:dyDescent="0.3">
      <c r="A193" s="64">
        <v>2</v>
      </c>
      <c r="B193" s="64" t="s">
        <v>197</v>
      </c>
      <c r="C193" s="64">
        <f>17*2.5</f>
        <v>42.5</v>
      </c>
      <c r="E193" s="64">
        <v>5</v>
      </c>
      <c r="F193" s="64" t="s">
        <v>197</v>
      </c>
      <c r="G193" s="64">
        <f>12*2.5</f>
        <v>30</v>
      </c>
      <c r="I193" s="64">
        <v>1</v>
      </c>
      <c r="J193" s="64" t="s">
        <v>197</v>
      </c>
      <c r="K193" s="64">
        <f>20*3</f>
        <v>60</v>
      </c>
      <c r="M193" s="214">
        <f t="shared" si="5"/>
        <v>132.5</v>
      </c>
    </row>
    <row r="194" spans="1:13" x14ac:dyDescent="0.3">
      <c r="A194" s="64">
        <v>6</v>
      </c>
      <c r="B194" s="64" t="s">
        <v>260</v>
      </c>
      <c r="C194" s="64">
        <f>11*2.5</f>
        <v>27.5</v>
      </c>
      <c r="E194" s="64">
        <v>1</v>
      </c>
      <c r="F194" s="64" t="s">
        <v>260</v>
      </c>
      <c r="G194" s="64">
        <f>20*2.5</f>
        <v>50</v>
      </c>
      <c r="I194" s="64">
        <v>12</v>
      </c>
      <c r="J194" s="64" t="s">
        <v>260</v>
      </c>
      <c r="K194" s="64">
        <f>5*3</f>
        <v>15</v>
      </c>
      <c r="M194" s="214">
        <f t="shared" si="5"/>
        <v>92.5</v>
      </c>
    </row>
    <row r="195" spans="1:13" x14ac:dyDescent="0.3">
      <c r="A195" s="64">
        <v>11</v>
      </c>
      <c r="B195" s="64" t="s">
        <v>273</v>
      </c>
      <c r="C195" s="64">
        <f>6*2.5</f>
        <v>15</v>
      </c>
      <c r="M195" s="214">
        <f t="shared" si="5"/>
        <v>15</v>
      </c>
    </row>
    <row r="196" spans="1:13" x14ac:dyDescent="0.3">
      <c r="E196" s="64">
        <v>6</v>
      </c>
      <c r="F196" s="64" t="s">
        <v>257</v>
      </c>
      <c r="G196" s="64">
        <f>11*2.5</f>
        <v>27.5</v>
      </c>
      <c r="M196" s="214">
        <f t="shared" si="5"/>
        <v>27.5</v>
      </c>
    </row>
    <row r="197" spans="1:13" x14ac:dyDescent="0.3">
      <c r="I197" s="64">
        <v>8</v>
      </c>
      <c r="J197" s="64" t="s">
        <v>279</v>
      </c>
      <c r="K197" s="64">
        <f>9*3</f>
        <v>27</v>
      </c>
      <c r="M197" s="214">
        <f t="shared" si="5"/>
        <v>27</v>
      </c>
    </row>
    <row r="198" spans="1:13" x14ac:dyDescent="0.3">
      <c r="I198" s="64">
        <v>5</v>
      </c>
      <c r="J198" s="64" t="s">
        <v>278</v>
      </c>
      <c r="K198" s="64">
        <f>12*3</f>
        <v>36</v>
      </c>
      <c r="M198" s="214">
        <f t="shared" si="5"/>
        <v>36</v>
      </c>
    </row>
    <row r="200" spans="1:13" x14ac:dyDescent="0.3">
      <c r="A200" s="210" t="s">
        <v>438</v>
      </c>
    </row>
    <row r="201" spans="1:13" x14ac:dyDescent="0.3">
      <c r="A201" s="210">
        <v>130</v>
      </c>
      <c r="B201" s="210" t="s">
        <v>419</v>
      </c>
      <c r="C201" s="210"/>
      <c r="D201" s="210"/>
      <c r="E201" s="210">
        <v>135</v>
      </c>
      <c r="F201" s="210" t="s">
        <v>419</v>
      </c>
      <c r="G201" s="210"/>
      <c r="H201" s="210"/>
      <c r="I201" s="210">
        <v>140</v>
      </c>
      <c r="J201" s="210" t="s">
        <v>419</v>
      </c>
    </row>
    <row r="202" spans="1:13" x14ac:dyDescent="0.3">
      <c r="L202" t="s">
        <v>91</v>
      </c>
    </row>
    <row r="203" spans="1:13" x14ac:dyDescent="0.3">
      <c r="E203" s="64">
        <v>4</v>
      </c>
      <c r="F203" s="64" t="s">
        <v>253</v>
      </c>
      <c r="G203" s="64">
        <f>13*2.5</f>
        <v>32.5</v>
      </c>
      <c r="L203" s="220">
        <f t="shared" ref="L203:L214" si="6">C203+G203+K203</f>
        <v>32.5</v>
      </c>
    </row>
    <row r="204" spans="1:13" x14ac:dyDescent="0.3">
      <c r="E204" s="64">
        <v>5</v>
      </c>
      <c r="F204" s="64" t="s">
        <v>255</v>
      </c>
      <c r="G204" s="64">
        <f>12*2.5</f>
        <v>30</v>
      </c>
      <c r="L204" s="220">
        <f t="shared" si="6"/>
        <v>30</v>
      </c>
    </row>
    <row r="205" spans="1:13" x14ac:dyDescent="0.3">
      <c r="I205" s="64">
        <v>8</v>
      </c>
      <c r="J205" s="64" t="s">
        <v>254</v>
      </c>
      <c r="K205" s="119">
        <f>9*2.5</f>
        <v>22.5</v>
      </c>
      <c r="L205" s="220">
        <f t="shared" si="6"/>
        <v>22.5</v>
      </c>
    </row>
    <row r="206" spans="1:13" x14ac:dyDescent="0.3">
      <c r="E206" s="64">
        <v>15</v>
      </c>
      <c r="F206" s="64" t="s">
        <v>250</v>
      </c>
      <c r="G206" s="64">
        <f>2*2.5</f>
        <v>5</v>
      </c>
      <c r="I206" s="64">
        <v>1</v>
      </c>
      <c r="J206" s="64" t="s">
        <v>250</v>
      </c>
      <c r="K206" s="119">
        <f>20*2.5</f>
        <v>50</v>
      </c>
      <c r="L206" s="220">
        <f t="shared" si="6"/>
        <v>55</v>
      </c>
    </row>
    <row r="207" spans="1:13" x14ac:dyDescent="0.3">
      <c r="E207" s="64">
        <v>10</v>
      </c>
      <c r="F207" s="64" t="s">
        <v>393</v>
      </c>
      <c r="G207" s="64">
        <f>7*2.5</f>
        <v>17.5</v>
      </c>
      <c r="L207" s="220">
        <f t="shared" si="6"/>
        <v>17.5</v>
      </c>
    </row>
    <row r="208" spans="1:13" x14ac:dyDescent="0.3">
      <c r="A208" s="64">
        <v>2</v>
      </c>
      <c r="B208" s="64" t="s">
        <v>251</v>
      </c>
      <c r="C208" s="64">
        <f>17*2.5</f>
        <v>42.5</v>
      </c>
      <c r="L208" s="220">
        <f t="shared" si="6"/>
        <v>42.5</v>
      </c>
    </row>
    <row r="209" spans="1:12" x14ac:dyDescent="0.3">
      <c r="A209" s="64">
        <v>1</v>
      </c>
      <c r="B209" s="64" t="s">
        <v>260</v>
      </c>
      <c r="C209" s="64">
        <f>20*2.5</f>
        <v>50</v>
      </c>
      <c r="E209" s="64">
        <v>7</v>
      </c>
      <c r="F209" s="64" t="s">
        <v>260</v>
      </c>
      <c r="G209" s="64">
        <f>10*2.5</f>
        <v>25</v>
      </c>
      <c r="L209" s="220">
        <f t="shared" si="6"/>
        <v>75</v>
      </c>
    </row>
    <row r="210" spans="1:12" x14ac:dyDescent="0.3">
      <c r="A210" s="64">
        <v>9</v>
      </c>
      <c r="B210" s="64" t="s">
        <v>395</v>
      </c>
      <c r="C210" s="64">
        <f>8*2.5</f>
        <v>20</v>
      </c>
      <c r="L210" s="220">
        <f t="shared" si="6"/>
        <v>20</v>
      </c>
    </row>
    <row r="211" spans="1:12" x14ac:dyDescent="0.3">
      <c r="E211" s="64">
        <v>9</v>
      </c>
      <c r="F211" s="64" t="s">
        <v>256</v>
      </c>
      <c r="G211" s="64">
        <f>8*2.5</f>
        <v>20</v>
      </c>
      <c r="I211" s="64">
        <v>3</v>
      </c>
      <c r="J211" s="64" t="s">
        <v>256</v>
      </c>
      <c r="K211" s="119">
        <f>15*2.5</f>
        <v>37.5</v>
      </c>
      <c r="L211" s="220">
        <f t="shared" si="6"/>
        <v>57.5</v>
      </c>
    </row>
    <row r="212" spans="1:12" x14ac:dyDescent="0.3">
      <c r="A212" s="64">
        <v>15</v>
      </c>
      <c r="B212" s="64" t="s">
        <v>257</v>
      </c>
      <c r="C212" s="64">
        <f>2*2.5</f>
        <v>5</v>
      </c>
      <c r="I212" s="64">
        <v>7</v>
      </c>
      <c r="J212" s="64" t="s">
        <v>257</v>
      </c>
      <c r="K212" s="119">
        <f>10*2.5</f>
        <v>25</v>
      </c>
      <c r="L212" s="220">
        <f t="shared" si="6"/>
        <v>30</v>
      </c>
    </row>
    <row r="213" spans="1:12" x14ac:dyDescent="0.3">
      <c r="I213" s="64">
        <v>16</v>
      </c>
      <c r="J213" s="64" t="s">
        <v>418</v>
      </c>
      <c r="K213" s="119">
        <f>1*2.5</f>
        <v>2.5</v>
      </c>
      <c r="L213" s="220">
        <f t="shared" si="6"/>
        <v>2.5</v>
      </c>
    </row>
    <row r="214" spans="1:12" x14ac:dyDescent="0.3">
      <c r="I214" s="64">
        <v>12</v>
      </c>
      <c r="J214" s="64" t="s">
        <v>249</v>
      </c>
      <c r="K214" s="119">
        <f>5*2.5</f>
        <v>12.5</v>
      </c>
      <c r="L214" s="220">
        <f t="shared" si="6"/>
        <v>12.5</v>
      </c>
    </row>
    <row r="216" spans="1:12" x14ac:dyDescent="0.3">
      <c r="A216" s="210" t="s">
        <v>437</v>
      </c>
    </row>
    <row r="217" spans="1:12" x14ac:dyDescent="0.3">
      <c r="A217" s="210">
        <v>130</v>
      </c>
      <c r="B217" s="210" t="s">
        <v>419</v>
      </c>
      <c r="C217" s="210"/>
      <c r="D217" s="210"/>
      <c r="E217" s="210">
        <v>135</v>
      </c>
      <c r="F217" s="210" t="s">
        <v>419</v>
      </c>
    </row>
    <row r="218" spans="1:12" x14ac:dyDescent="0.3">
      <c r="H218" t="s">
        <v>91</v>
      </c>
    </row>
    <row r="219" spans="1:12" x14ac:dyDescent="0.3">
      <c r="A219" s="64">
        <v>4</v>
      </c>
      <c r="B219" s="64" t="s">
        <v>270</v>
      </c>
      <c r="C219" s="64">
        <f>11*2.5</f>
        <v>27.5</v>
      </c>
      <c r="E219" s="64">
        <v>13</v>
      </c>
      <c r="F219" s="64" t="s">
        <v>270</v>
      </c>
      <c r="G219" s="64">
        <f>4*2.5</f>
        <v>10</v>
      </c>
      <c r="H219" s="214">
        <f>C219+G219</f>
        <v>37.5</v>
      </c>
    </row>
    <row r="220" spans="1:12" x14ac:dyDescent="0.3">
      <c r="A220" s="64">
        <v>3</v>
      </c>
      <c r="B220" s="64" t="s">
        <v>271</v>
      </c>
      <c r="C220" s="64">
        <f>13*2.5</f>
        <v>32.5</v>
      </c>
      <c r="E220" s="64">
        <v>15</v>
      </c>
      <c r="F220" s="64" t="s">
        <v>271</v>
      </c>
      <c r="G220" s="64">
        <f>2*2.5</f>
        <v>5</v>
      </c>
      <c r="H220" s="214">
        <f>C220+G220</f>
        <v>37.5</v>
      </c>
    </row>
    <row r="221" spans="1:12" x14ac:dyDescent="0.3">
      <c r="E221" s="64">
        <v>1</v>
      </c>
      <c r="F221" s="64" t="s">
        <v>250</v>
      </c>
      <c r="G221" s="64">
        <f>20*2.5</f>
        <v>50</v>
      </c>
      <c r="H221" s="214">
        <f>C221+G221</f>
        <v>50</v>
      </c>
    </row>
    <row r="222" spans="1:12" x14ac:dyDescent="0.3">
      <c r="A222" s="64">
        <v>8</v>
      </c>
      <c r="B222" s="64" t="s">
        <v>395</v>
      </c>
      <c r="C222" s="64">
        <f>7*2.5</f>
        <v>17.5</v>
      </c>
      <c r="E222" s="64">
        <v>3</v>
      </c>
      <c r="F222" s="64" t="s">
        <v>395</v>
      </c>
      <c r="G222" s="64">
        <f>15*2.5</f>
        <v>37.5</v>
      </c>
      <c r="H222" s="214">
        <f>C222+G222</f>
        <v>55</v>
      </c>
    </row>
    <row r="224" spans="1:12" x14ac:dyDescent="0.3">
      <c r="A224" s="210" t="s">
        <v>436</v>
      </c>
    </row>
    <row r="225" spans="1:12" x14ac:dyDescent="0.3">
      <c r="A225" s="210">
        <v>130</v>
      </c>
      <c r="B225" s="210" t="s">
        <v>419</v>
      </c>
    </row>
    <row r="226" spans="1:12" x14ac:dyDescent="0.3">
      <c r="A226" s="64">
        <v>1</v>
      </c>
      <c r="B226" s="64" t="s">
        <v>265</v>
      </c>
      <c r="C226" s="64">
        <f>6*2.5</f>
        <v>15</v>
      </c>
    </row>
    <row r="227" spans="1:12" x14ac:dyDescent="0.3">
      <c r="A227" s="64">
        <v>2</v>
      </c>
      <c r="B227" s="64" t="s">
        <v>284</v>
      </c>
      <c r="C227" s="64">
        <f>3*2.5</f>
        <v>7.5</v>
      </c>
    </row>
    <row r="228" spans="1:12" x14ac:dyDescent="0.3">
      <c r="A228" s="64">
        <v>3</v>
      </c>
      <c r="B228" s="64" t="s">
        <v>265</v>
      </c>
      <c r="C228" s="64" t="s">
        <v>435</v>
      </c>
    </row>
    <row r="230" spans="1:12" x14ac:dyDescent="0.3">
      <c r="A230" s="210" t="s">
        <v>434</v>
      </c>
    </row>
    <row r="231" spans="1:12" x14ac:dyDescent="0.3">
      <c r="A231" s="210">
        <v>130</v>
      </c>
      <c r="B231" s="210" t="s">
        <v>419</v>
      </c>
    </row>
    <row r="232" spans="1:12" x14ac:dyDescent="0.3">
      <c r="A232" s="204">
        <v>1</v>
      </c>
      <c r="B232" s="204" t="s">
        <v>265</v>
      </c>
      <c r="C232" s="204">
        <f>4*2.5</f>
        <v>10</v>
      </c>
    </row>
    <row r="233" spans="1:12" x14ac:dyDescent="0.3">
      <c r="A233" s="204">
        <v>2</v>
      </c>
      <c r="B233" s="204" t="s">
        <v>278</v>
      </c>
      <c r="C233" s="204">
        <f>1*2.5</f>
        <v>2.5</v>
      </c>
    </row>
    <row r="235" spans="1:12" x14ac:dyDescent="0.3">
      <c r="A235" s="210" t="s">
        <v>433</v>
      </c>
    </row>
    <row r="236" spans="1:12" x14ac:dyDescent="0.3">
      <c r="A236" s="210">
        <v>130</v>
      </c>
      <c r="B236" s="221" t="s">
        <v>419</v>
      </c>
      <c r="E236" s="210">
        <v>130</v>
      </c>
      <c r="F236" s="221" t="s">
        <v>419</v>
      </c>
      <c r="I236" s="210">
        <v>135</v>
      </c>
      <c r="J236" s="221" t="s">
        <v>419</v>
      </c>
      <c r="L236" t="s">
        <v>91</v>
      </c>
    </row>
    <row r="237" spans="1:12" x14ac:dyDescent="0.3">
      <c r="A237" s="64">
        <v>6</v>
      </c>
      <c r="B237" s="64" t="s">
        <v>253</v>
      </c>
      <c r="C237" s="64">
        <f>11*2.5</f>
        <v>27.5</v>
      </c>
      <c r="E237" s="64">
        <v>4</v>
      </c>
      <c r="F237" s="64" t="s">
        <v>253</v>
      </c>
      <c r="G237" s="64">
        <f>13*2.5</f>
        <v>32.5</v>
      </c>
      <c r="I237" s="64">
        <v>4</v>
      </c>
      <c r="J237" s="64" t="s">
        <v>253</v>
      </c>
      <c r="K237" s="119">
        <f>10*2.5</f>
        <v>25</v>
      </c>
      <c r="L237" s="220">
        <f t="shared" ref="L237:L248" si="7">C237+G237+K237</f>
        <v>85</v>
      </c>
    </row>
    <row r="238" spans="1:12" x14ac:dyDescent="0.3">
      <c r="E238" s="64">
        <v>5</v>
      </c>
      <c r="F238" s="64" t="s">
        <v>255</v>
      </c>
      <c r="G238" s="64">
        <f>12*2.5</f>
        <v>30</v>
      </c>
      <c r="I238" s="64">
        <v>7</v>
      </c>
      <c r="J238" s="64" t="s">
        <v>255</v>
      </c>
      <c r="K238" s="119">
        <f>7*2.5</f>
        <v>17.5</v>
      </c>
      <c r="L238" s="220">
        <f t="shared" si="7"/>
        <v>47.5</v>
      </c>
    </row>
    <row r="239" spans="1:12" x14ac:dyDescent="0.3">
      <c r="A239" s="64">
        <v>4</v>
      </c>
      <c r="B239" s="64" t="s">
        <v>252</v>
      </c>
      <c r="C239" s="64">
        <f>13*2.5</f>
        <v>32.5</v>
      </c>
      <c r="E239" s="64">
        <v>8</v>
      </c>
      <c r="F239" s="64" t="s">
        <v>252</v>
      </c>
      <c r="G239" s="64">
        <f>9*2.5</f>
        <v>22.5</v>
      </c>
      <c r="I239" s="64">
        <v>9</v>
      </c>
      <c r="J239" s="64" t="s">
        <v>252</v>
      </c>
      <c r="K239" s="119">
        <f>5*2.5</f>
        <v>12.5</v>
      </c>
      <c r="L239" s="220">
        <f t="shared" si="7"/>
        <v>67.5</v>
      </c>
    </row>
    <row r="240" spans="1:12" x14ac:dyDescent="0.3">
      <c r="A240" s="64">
        <v>12</v>
      </c>
      <c r="B240" s="64" t="s">
        <v>259</v>
      </c>
      <c r="C240" s="64">
        <f>5*2.5</f>
        <v>12.5</v>
      </c>
      <c r="L240" s="220">
        <f t="shared" si="7"/>
        <v>12.5</v>
      </c>
    </row>
    <row r="241" spans="1:39" x14ac:dyDescent="0.3">
      <c r="A241" s="64">
        <v>5</v>
      </c>
      <c r="B241" s="64" t="s">
        <v>269</v>
      </c>
      <c r="C241" s="64">
        <f>12*2.5</f>
        <v>30</v>
      </c>
      <c r="E241" s="64">
        <v>1</v>
      </c>
      <c r="F241" s="64" t="s">
        <v>269</v>
      </c>
      <c r="G241" s="64">
        <f>20*2.5</f>
        <v>50</v>
      </c>
      <c r="I241" s="64">
        <v>3</v>
      </c>
      <c r="J241" s="64" t="s">
        <v>269</v>
      </c>
      <c r="K241" s="119">
        <f>12*2.5</f>
        <v>30</v>
      </c>
      <c r="L241" s="220">
        <f t="shared" si="7"/>
        <v>110</v>
      </c>
    </row>
    <row r="242" spans="1:39" x14ac:dyDescent="0.3">
      <c r="E242" s="64">
        <v>7</v>
      </c>
      <c r="F242" s="64" t="s">
        <v>254</v>
      </c>
      <c r="G242" s="64">
        <f>10*2.5</f>
        <v>25</v>
      </c>
      <c r="L242" s="220">
        <f t="shared" si="7"/>
        <v>25</v>
      </c>
    </row>
    <row r="243" spans="1:39" x14ac:dyDescent="0.3">
      <c r="A243" s="64">
        <v>16</v>
      </c>
      <c r="B243" s="64" t="s">
        <v>432</v>
      </c>
      <c r="C243" s="64">
        <f>1*2.5</f>
        <v>2.5</v>
      </c>
      <c r="E243" s="64">
        <v>15</v>
      </c>
      <c r="F243" s="64" t="s">
        <v>432</v>
      </c>
      <c r="G243" s="64">
        <f>2*2.5</f>
        <v>5</v>
      </c>
      <c r="I243" s="64">
        <v>8</v>
      </c>
      <c r="J243" s="64" t="s">
        <v>432</v>
      </c>
      <c r="K243" s="119">
        <f>6*2.5</f>
        <v>15</v>
      </c>
      <c r="L243" s="220">
        <f t="shared" si="7"/>
        <v>22.5</v>
      </c>
    </row>
    <row r="244" spans="1:39" x14ac:dyDescent="0.3">
      <c r="A244" s="64">
        <v>2</v>
      </c>
      <c r="B244" s="64" t="s">
        <v>263</v>
      </c>
      <c r="C244" s="64">
        <f>17*2.5</f>
        <v>42.5</v>
      </c>
      <c r="E244" s="64">
        <v>9</v>
      </c>
      <c r="F244" s="64" t="s">
        <v>263</v>
      </c>
      <c r="G244" s="64">
        <f>8*2.5</f>
        <v>20</v>
      </c>
      <c r="I244" s="64">
        <v>11</v>
      </c>
      <c r="J244" s="64" t="s">
        <v>263</v>
      </c>
      <c r="K244" s="119">
        <f>3*2.5</f>
        <v>7.5</v>
      </c>
      <c r="L244" s="220">
        <f t="shared" si="7"/>
        <v>70</v>
      </c>
    </row>
    <row r="245" spans="1:39" x14ac:dyDescent="0.3">
      <c r="A245" s="64">
        <v>9</v>
      </c>
      <c r="B245" s="64" t="s">
        <v>249</v>
      </c>
      <c r="C245" s="64">
        <f>8*2.5</f>
        <v>20</v>
      </c>
      <c r="E245" s="64">
        <v>2</v>
      </c>
      <c r="F245" s="64" t="s">
        <v>249</v>
      </c>
      <c r="G245" s="64">
        <f>17*2.5</f>
        <v>42.5</v>
      </c>
      <c r="I245" s="64">
        <v>1</v>
      </c>
      <c r="J245" s="64" t="s">
        <v>249</v>
      </c>
      <c r="K245" s="119">
        <f>17*2.5</f>
        <v>42.5</v>
      </c>
      <c r="L245" s="220">
        <f t="shared" si="7"/>
        <v>105</v>
      </c>
    </row>
    <row r="246" spans="1:39" x14ac:dyDescent="0.3">
      <c r="A246" s="64">
        <v>7</v>
      </c>
      <c r="B246" s="64" t="s">
        <v>197</v>
      </c>
      <c r="C246" s="64">
        <f>10*2.5</f>
        <v>25</v>
      </c>
      <c r="L246" s="220">
        <f t="shared" si="7"/>
        <v>25</v>
      </c>
    </row>
    <row r="247" spans="1:39" x14ac:dyDescent="0.3">
      <c r="E247" s="64">
        <v>6</v>
      </c>
      <c r="F247" s="64" t="s">
        <v>194</v>
      </c>
      <c r="G247" s="64">
        <f>11*2.5</f>
        <v>27.5</v>
      </c>
      <c r="L247" s="220">
        <f t="shared" si="7"/>
        <v>27.5</v>
      </c>
    </row>
    <row r="248" spans="1:39" x14ac:dyDescent="0.3">
      <c r="A248" s="64">
        <v>1</v>
      </c>
      <c r="B248" s="64" t="s">
        <v>267</v>
      </c>
      <c r="C248" s="64">
        <f>20*2.5</f>
        <v>50</v>
      </c>
      <c r="E248" s="64">
        <v>3</v>
      </c>
      <c r="F248" s="64" t="s">
        <v>267</v>
      </c>
      <c r="G248" s="64">
        <f>15*2.5</f>
        <v>37.5</v>
      </c>
      <c r="I248" s="64">
        <v>5</v>
      </c>
      <c r="J248" s="64" t="s">
        <v>267</v>
      </c>
      <c r="K248" s="119">
        <f>9*2.5</f>
        <v>22.5</v>
      </c>
      <c r="L248" s="220">
        <f t="shared" si="7"/>
        <v>110</v>
      </c>
    </row>
    <row r="250" spans="1:39" x14ac:dyDescent="0.3">
      <c r="A250" s="210" t="s">
        <v>431</v>
      </c>
    </row>
    <row r="251" spans="1:39" x14ac:dyDescent="0.3">
      <c r="A251" s="210" t="s">
        <v>430</v>
      </c>
    </row>
    <row r="252" spans="1:39" x14ac:dyDescent="0.3">
      <c r="A252" s="210">
        <v>135</v>
      </c>
      <c r="B252" s="210" t="s">
        <v>379</v>
      </c>
      <c r="E252" s="210">
        <v>130</v>
      </c>
      <c r="F252" s="210" t="s">
        <v>379</v>
      </c>
      <c r="I252" s="210">
        <v>130</v>
      </c>
      <c r="J252" s="210" t="s">
        <v>379</v>
      </c>
      <c r="M252" s="210">
        <v>135</v>
      </c>
      <c r="N252" s="210" t="s">
        <v>379</v>
      </c>
      <c r="Q252" s="210">
        <v>140</v>
      </c>
      <c r="R252" s="210" t="s">
        <v>379</v>
      </c>
      <c r="V252" s="210">
        <v>145</v>
      </c>
      <c r="W252" s="210" t="s">
        <v>378</v>
      </c>
      <c r="X252" s="210"/>
      <c r="Y252" s="210"/>
      <c r="AA252" s="218">
        <v>140</v>
      </c>
      <c r="AB252" s="210" t="s">
        <v>379</v>
      </c>
      <c r="AC252" s="219"/>
      <c r="AD252" s="219"/>
      <c r="AF252" s="210">
        <v>145</v>
      </c>
      <c r="AG252" s="210" t="s">
        <v>378</v>
      </c>
      <c r="AJ252" s="218">
        <v>140</v>
      </c>
      <c r="AK252" s="210" t="s">
        <v>379</v>
      </c>
    </row>
    <row r="253" spans="1:39" x14ac:dyDescent="0.3">
      <c r="E253" s="64">
        <v>4</v>
      </c>
      <c r="F253" s="64" t="s">
        <v>269</v>
      </c>
      <c r="G253" s="64">
        <f>13*3.5</f>
        <v>45.5</v>
      </c>
      <c r="H253" s="209"/>
      <c r="I253" s="64">
        <v>1</v>
      </c>
      <c r="J253" s="64" t="s">
        <v>269</v>
      </c>
      <c r="K253" s="64">
        <f>18.5*3.5</f>
        <v>64.75</v>
      </c>
      <c r="L253" s="209"/>
      <c r="M253" s="64">
        <v>6</v>
      </c>
      <c r="N253" s="64" t="s">
        <v>269</v>
      </c>
      <c r="O253" s="64">
        <f>11*3.5</f>
        <v>38.5</v>
      </c>
      <c r="AJ253" s="64" t="s">
        <v>269</v>
      </c>
      <c r="AL253" s="210">
        <f t="shared" ref="AL253:AL260" si="8">C253+G253+K253+O253+T253+Y253+AC253+AG253+AK253</f>
        <v>148.75</v>
      </c>
      <c r="AM253" t="s">
        <v>392</v>
      </c>
    </row>
    <row r="254" spans="1:39" x14ac:dyDescent="0.3">
      <c r="E254" s="64">
        <v>8</v>
      </c>
      <c r="F254" s="64" t="s">
        <v>394</v>
      </c>
      <c r="G254" s="64">
        <f>9*3.5</f>
        <v>31.5</v>
      </c>
      <c r="H254" s="209"/>
      <c r="I254" s="64">
        <v>4</v>
      </c>
      <c r="J254" s="64" t="s">
        <v>394</v>
      </c>
      <c r="K254" s="64">
        <f>13*3.5</f>
        <v>45.5</v>
      </c>
      <c r="L254" s="209"/>
      <c r="M254" s="64">
        <v>7</v>
      </c>
      <c r="N254" s="64" t="s">
        <v>394</v>
      </c>
      <c r="O254" s="64">
        <f>10*3.5</f>
        <v>35</v>
      </c>
      <c r="AJ254" s="64" t="s">
        <v>394</v>
      </c>
      <c r="AL254" s="210">
        <f t="shared" si="8"/>
        <v>112</v>
      </c>
      <c r="AM254" t="s">
        <v>392</v>
      </c>
    </row>
    <row r="255" spans="1:39" x14ac:dyDescent="0.3">
      <c r="E255" s="64">
        <v>9</v>
      </c>
      <c r="F255" s="64" t="s">
        <v>285</v>
      </c>
      <c r="G255" s="64">
        <f>8*3.5</f>
        <v>28</v>
      </c>
      <c r="H255" s="209"/>
      <c r="I255" s="64">
        <v>8</v>
      </c>
      <c r="J255" s="64" t="s">
        <v>285</v>
      </c>
      <c r="K255" s="64">
        <f>9*3.5</f>
        <v>31.5</v>
      </c>
      <c r="L255" s="209"/>
      <c r="AJ255" s="64" t="s">
        <v>285</v>
      </c>
      <c r="AL255" s="210">
        <f t="shared" si="8"/>
        <v>59.5</v>
      </c>
      <c r="AM255" t="s">
        <v>392</v>
      </c>
    </row>
    <row r="256" spans="1:39" x14ac:dyDescent="0.3">
      <c r="H256" s="209"/>
      <c r="I256" s="64">
        <v>15</v>
      </c>
      <c r="J256" s="64" t="s">
        <v>429</v>
      </c>
      <c r="K256" s="64">
        <f>2*3.5</f>
        <v>7</v>
      </c>
      <c r="L256" s="209"/>
      <c r="M256" s="64">
        <v>15</v>
      </c>
      <c r="N256" s="64" t="s">
        <v>393</v>
      </c>
      <c r="O256" s="64">
        <f>2*3.5</f>
        <v>7</v>
      </c>
      <c r="AJ256" s="64" t="s">
        <v>393</v>
      </c>
      <c r="AL256" s="210">
        <f t="shared" si="8"/>
        <v>14</v>
      </c>
      <c r="AM256" t="s">
        <v>392</v>
      </c>
    </row>
    <row r="257" spans="1:39" x14ac:dyDescent="0.3">
      <c r="H257" s="209"/>
      <c r="I257" s="77"/>
      <c r="J257" s="77"/>
      <c r="K257" s="77"/>
      <c r="L257" s="209"/>
      <c r="Q257" s="64">
        <v>2</v>
      </c>
      <c r="R257" s="64" t="s">
        <v>251</v>
      </c>
      <c r="S257" s="64"/>
      <c r="T257" s="64">
        <f>17*3.5</f>
        <v>59.5</v>
      </c>
      <c r="V257" s="64">
        <v>3</v>
      </c>
      <c r="W257" s="64" t="s">
        <v>251</v>
      </c>
      <c r="X257" s="64"/>
      <c r="Y257" s="64">
        <f>15*4</f>
        <v>60</v>
      </c>
      <c r="AI257" s="64">
        <v>5</v>
      </c>
      <c r="AJ257" s="64" t="s">
        <v>251</v>
      </c>
      <c r="AK257" s="64">
        <f>9*3.5</f>
        <v>31.5</v>
      </c>
      <c r="AL257" s="210">
        <f t="shared" si="8"/>
        <v>151</v>
      </c>
      <c r="AM257" t="s">
        <v>392</v>
      </c>
    </row>
    <row r="258" spans="1:39" x14ac:dyDescent="0.3">
      <c r="A258" s="64">
        <v>7</v>
      </c>
      <c r="B258" s="64" t="s">
        <v>250</v>
      </c>
      <c r="C258" s="212">
        <f>10*3.5</f>
        <v>35</v>
      </c>
      <c r="H258" s="217"/>
      <c r="L258" s="217"/>
      <c r="Q258" s="64">
        <v>8</v>
      </c>
      <c r="R258" s="64" t="s">
        <v>250</v>
      </c>
      <c r="S258" s="64"/>
      <c r="T258" s="64">
        <f>9*3.5</f>
        <v>31.5</v>
      </c>
      <c r="AA258" s="64">
        <v>2</v>
      </c>
      <c r="AB258" s="215" t="s">
        <v>250</v>
      </c>
      <c r="AC258" s="64">
        <f>12*3.5</f>
        <v>42</v>
      </c>
      <c r="AE258" s="64">
        <v>6</v>
      </c>
      <c r="AF258" s="64" t="s">
        <v>250</v>
      </c>
      <c r="AG258" s="64">
        <f>11*4</f>
        <v>44</v>
      </c>
      <c r="AI258" s="64">
        <v>1</v>
      </c>
      <c r="AJ258" s="64" t="s">
        <v>250</v>
      </c>
      <c r="AK258" s="64">
        <f>17*3.5</f>
        <v>59.5</v>
      </c>
      <c r="AL258" s="210">
        <f t="shared" si="8"/>
        <v>212</v>
      </c>
      <c r="AM258" t="s">
        <v>392</v>
      </c>
    </row>
    <row r="259" spans="1:39" x14ac:dyDescent="0.3">
      <c r="A259" s="64">
        <v>8</v>
      </c>
      <c r="B259" s="64" t="s">
        <v>286</v>
      </c>
      <c r="C259" s="212">
        <f>9*3.5</f>
        <v>31.5</v>
      </c>
      <c r="D259" s="209"/>
      <c r="H259" s="216"/>
      <c r="Q259" s="64">
        <v>15</v>
      </c>
      <c r="R259" s="64" t="s">
        <v>286</v>
      </c>
      <c r="S259" s="64"/>
      <c r="T259" s="64">
        <f>2*3.5</f>
        <v>7</v>
      </c>
      <c r="V259" s="64">
        <v>13</v>
      </c>
      <c r="W259" s="64" t="s">
        <v>286</v>
      </c>
      <c r="X259" s="64"/>
      <c r="Y259" s="64">
        <f>4*4</f>
        <v>16</v>
      </c>
      <c r="AA259" s="64">
        <v>6</v>
      </c>
      <c r="AB259" s="64" t="s">
        <v>286</v>
      </c>
      <c r="AC259" s="64">
        <f>6*3.5</f>
        <v>21</v>
      </c>
      <c r="AE259" s="64">
        <v>16</v>
      </c>
      <c r="AF259" s="64" t="s">
        <v>286</v>
      </c>
      <c r="AG259" s="64">
        <f>1*4</f>
        <v>4</v>
      </c>
      <c r="AI259" s="64">
        <v>3</v>
      </c>
      <c r="AJ259" s="64" t="s">
        <v>286</v>
      </c>
      <c r="AK259" s="64">
        <f>12*3.5</f>
        <v>42</v>
      </c>
      <c r="AL259" s="210">
        <f t="shared" si="8"/>
        <v>121.5</v>
      </c>
      <c r="AM259" t="s">
        <v>392</v>
      </c>
    </row>
    <row r="260" spans="1:39" x14ac:dyDescent="0.3">
      <c r="A260" s="64">
        <v>10</v>
      </c>
      <c r="B260" s="64" t="s">
        <v>255</v>
      </c>
      <c r="C260" s="212">
        <f>7*3.5</f>
        <v>24.5</v>
      </c>
      <c r="D260" s="209"/>
      <c r="H260" s="209"/>
      <c r="AA260" s="64">
        <v>7</v>
      </c>
      <c r="AB260" s="64" t="s">
        <v>255</v>
      </c>
      <c r="AC260" s="64">
        <f>5*3.5</f>
        <v>17.5</v>
      </c>
      <c r="AI260" s="64">
        <v>10</v>
      </c>
      <c r="AJ260" s="64" t="s">
        <v>255</v>
      </c>
      <c r="AK260" s="64">
        <f>4*3.5</f>
        <v>14</v>
      </c>
      <c r="AL260" s="210">
        <f t="shared" si="8"/>
        <v>56</v>
      </c>
      <c r="AM260" t="s">
        <v>392</v>
      </c>
    </row>
    <row r="261" spans="1:39" x14ac:dyDescent="0.3">
      <c r="H261" s="209"/>
    </row>
    <row r="262" spans="1:39" x14ac:dyDescent="0.3">
      <c r="A262" s="210" t="s">
        <v>428</v>
      </c>
      <c r="H262" s="209"/>
      <c r="Q262" s="209"/>
    </row>
    <row r="263" spans="1:39" x14ac:dyDescent="0.3">
      <c r="A263" s="210">
        <v>135</v>
      </c>
      <c r="B263" s="210" t="s">
        <v>379</v>
      </c>
      <c r="D263" s="209"/>
      <c r="E263" s="210">
        <v>140</v>
      </c>
      <c r="F263" s="210" t="s">
        <v>379</v>
      </c>
      <c r="G263" s="209"/>
      <c r="I263" s="210">
        <v>130</v>
      </c>
      <c r="J263" s="210" t="s">
        <v>379</v>
      </c>
      <c r="M263" s="210">
        <v>145</v>
      </c>
      <c r="N263" s="210" t="s">
        <v>378</v>
      </c>
      <c r="P263" s="209"/>
      <c r="Q263" s="210">
        <v>130</v>
      </c>
      <c r="R263" s="210" t="s">
        <v>379</v>
      </c>
      <c r="U263" s="210">
        <v>140</v>
      </c>
      <c r="V263" s="210" t="s">
        <v>379</v>
      </c>
      <c r="Y263" s="210">
        <v>135</v>
      </c>
      <c r="Z263" s="210" t="s">
        <v>379</v>
      </c>
      <c r="AC263" s="210">
        <v>140</v>
      </c>
      <c r="AD263" s="210" t="s">
        <v>379</v>
      </c>
      <c r="AG263" s="210" t="s">
        <v>406</v>
      </c>
      <c r="AH263" s="210" t="s">
        <v>382</v>
      </c>
      <c r="AK263" t="s">
        <v>91</v>
      </c>
    </row>
    <row r="264" spans="1:39" x14ac:dyDescent="0.3">
      <c r="B264" s="212" t="s">
        <v>287</v>
      </c>
      <c r="D264" s="209"/>
      <c r="H264" s="209"/>
      <c r="L264" s="209"/>
      <c r="P264" s="213"/>
      <c r="Q264" s="212">
        <v>1</v>
      </c>
      <c r="R264" s="212" t="s">
        <v>287</v>
      </c>
      <c r="S264" s="212">
        <f>20*3.5</f>
        <v>70</v>
      </c>
      <c r="T264" s="213"/>
      <c r="X264" s="213"/>
      <c r="Y264" s="212">
        <v>2</v>
      </c>
      <c r="Z264" s="212" t="s">
        <v>287</v>
      </c>
      <c r="AA264" s="64">
        <f>17*3.5</f>
        <v>59.5</v>
      </c>
      <c r="AF264" s="213"/>
      <c r="AG264" s="212">
        <v>16</v>
      </c>
      <c r="AH264" s="212" t="s">
        <v>287</v>
      </c>
      <c r="AI264" s="64">
        <f>1*4.5</f>
        <v>4.5</v>
      </c>
      <c r="AK264" s="211">
        <f t="shared" ref="AK264:AK276" si="9">C264+G264+K264+O264+S264+W264+AA264+AE264+AI264</f>
        <v>134</v>
      </c>
      <c r="AL264" s="212" t="s">
        <v>287</v>
      </c>
      <c r="AM264" t="s">
        <v>392</v>
      </c>
    </row>
    <row r="265" spans="1:39" x14ac:dyDescent="0.3">
      <c r="A265" s="64">
        <v>14</v>
      </c>
      <c r="B265" s="64" t="s">
        <v>262</v>
      </c>
      <c r="C265" s="212">
        <f>3*3.5</f>
        <v>10.5</v>
      </c>
      <c r="D265" s="209"/>
      <c r="H265" s="209"/>
      <c r="L265" s="209"/>
      <c r="M265" s="212">
        <v>10</v>
      </c>
      <c r="N265" s="212" t="s">
        <v>262</v>
      </c>
      <c r="O265" s="212">
        <f>7*4</f>
        <v>28</v>
      </c>
      <c r="P265" s="213"/>
      <c r="T265" s="213"/>
      <c r="U265" s="212">
        <v>11</v>
      </c>
      <c r="V265" s="212" t="s">
        <v>262</v>
      </c>
      <c r="W265" s="212">
        <f>6*3.5</f>
        <v>21</v>
      </c>
      <c r="X265" s="213"/>
      <c r="AC265" s="212">
        <v>8</v>
      </c>
      <c r="AD265" s="212" t="s">
        <v>262</v>
      </c>
      <c r="AE265" s="212">
        <f>9*3.5</f>
        <v>31.5</v>
      </c>
      <c r="AF265" s="213"/>
      <c r="AG265" s="212">
        <v>1</v>
      </c>
      <c r="AH265" s="212" t="s">
        <v>262</v>
      </c>
      <c r="AI265" s="64">
        <f>20*4.5</f>
        <v>90</v>
      </c>
      <c r="AK265" s="211">
        <f t="shared" si="9"/>
        <v>181</v>
      </c>
      <c r="AL265" s="64" t="s">
        <v>262</v>
      </c>
      <c r="AM265" t="s">
        <v>392</v>
      </c>
    </row>
    <row r="266" spans="1:39" x14ac:dyDescent="0.3">
      <c r="B266" s="212" t="s">
        <v>252</v>
      </c>
      <c r="D266" s="209"/>
      <c r="I266" s="64">
        <v>4</v>
      </c>
      <c r="J266" s="64" t="s">
        <v>252</v>
      </c>
      <c r="K266" s="64">
        <f>13*3.5</f>
        <v>45.5</v>
      </c>
      <c r="L266" s="209"/>
      <c r="P266" s="213"/>
      <c r="Q266" s="212">
        <v>4</v>
      </c>
      <c r="R266" s="212" t="s">
        <v>252</v>
      </c>
      <c r="S266" s="212">
        <f>13*3.5</f>
        <v>45.5</v>
      </c>
      <c r="T266" s="213"/>
      <c r="X266" s="213"/>
      <c r="Y266" s="64">
        <v>15</v>
      </c>
      <c r="Z266" s="64" t="s">
        <v>252</v>
      </c>
      <c r="AA266" s="64">
        <f>2*3.5</f>
        <v>7</v>
      </c>
      <c r="AF266" s="213"/>
      <c r="AK266" s="211">
        <f t="shared" si="9"/>
        <v>98</v>
      </c>
      <c r="AL266" s="212" t="s">
        <v>252</v>
      </c>
      <c r="AM266" t="s">
        <v>392</v>
      </c>
    </row>
    <row r="267" spans="1:39" x14ac:dyDescent="0.3">
      <c r="B267" s="215" t="s">
        <v>251</v>
      </c>
      <c r="D267" s="209"/>
      <c r="E267" s="64">
        <v>9</v>
      </c>
      <c r="F267" s="215" t="s">
        <v>251</v>
      </c>
      <c r="G267" s="64">
        <f>8*3.5</f>
        <v>28</v>
      </c>
      <c r="L267" s="209"/>
      <c r="M267" s="212">
        <v>14</v>
      </c>
      <c r="N267" s="212" t="s">
        <v>251</v>
      </c>
      <c r="O267" s="212">
        <f>3*4</f>
        <v>12</v>
      </c>
      <c r="P267" s="213"/>
      <c r="T267" s="213"/>
      <c r="X267" s="213"/>
      <c r="AF267" s="213"/>
      <c r="AG267" s="212">
        <v>14</v>
      </c>
      <c r="AH267" s="212" t="s">
        <v>251</v>
      </c>
      <c r="AI267" s="64">
        <f>3*4.5</f>
        <v>13.5</v>
      </c>
      <c r="AK267" s="211">
        <f t="shared" si="9"/>
        <v>53.5</v>
      </c>
      <c r="AL267" s="215" t="s">
        <v>251</v>
      </c>
      <c r="AM267" t="s">
        <v>392</v>
      </c>
    </row>
    <row r="268" spans="1:39" x14ac:dyDescent="0.3">
      <c r="A268" s="64">
        <v>4</v>
      </c>
      <c r="B268" s="64" t="s">
        <v>394</v>
      </c>
      <c r="C268" s="212">
        <f>13*3.5</f>
        <v>45.5</v>
      </c>
      <c r="D268" s="209"/>
      <c r="L268" s="209"/>
      <c r="P268" s="213"/>
      <c r="T268" s="213"/>
      <c r="U268" s="212">
        <v>8</v>
      </c>
      <c r="V268" s="212" t="s">
        <v>394</v>
      </c>
      <c r="W268" s="212">
        <f>9*3.5</f>
        <v>31.5</v>
      </c>
      <c r="X268" s="213"/>
      <c r="AC268" s="212">
        <v>14</v>
      </c>
      <c r="AD268" s="212" t="s">
        <v>394</v>
      </c>
      <c r="AE268" s="212">
        <f>3*3.5</f>
        <v>10.5</v>
      </c>
      <c r="AF268" s="213"/>
      <c r="AK268" s="211">
        <f t="shared" si="9"/>
        <v>87.5</v>
      </c>
      <c r="AL268" s="64" t="s">
        <v>394</v>
      </c>
      <c r="AM268" t="s">
        <v>392</v>
      </c>
    </row>
    <row r="269" spans="1:39" x14ac:dyDescent="0.3">
      <c r="A269" s="64">
        <v>1</v>
      </c>
      <c r="B269" s="64" t="s">
        <v>286</v>
      </c>
      <c r="C269" s="212">
        <f>20*3.5</f>
        <v>70</v>
      </c>
      <c r="D269" s="209"/>
      <c r="E269" s="64">
        <v>7</v>
      </c>
      <c r="F269" s="215" t="s">
        <v>286</v>
      </c>
      <c r="G269" s="64">
        <f>10*3.5</f>
        <v>35</v>
      </c>
      <c r="P269" s="213"/>
      <c r="T269" s="213"/>
      <c r="U269" s="212">
        <v>4</v>
      </c>
      <c r="V269" s="212" t="s">
        <v>286</v>
      </c>
      <c r="W269" s="212">
        <f>13*3.5</f>
        <v>45.5</v>
      </c>
      <c r="X269" s="213"/>
      <c r="AC269" s="212">
        <v>5</v>
      </c>
      <c r="AD269" s="212" t="s">
        <v>286</v>
      </c>
      <c r="AE269" s="212">
        <f>12*3.5</f>
        <v>42</v>
      </c>
      <c r="AF269" s="213"/>
      <c r="AK269" s="211">
        <f t="shared" si="9"/>
        <v>192.5</v>
      </c>
      <c r="AL269" s="64" t="s">
        <v>286</v>
      </c>
      <c r="AM269" t="s">
        <v>392</v>
      </c>
    </row>
    <row r="270" spans="1:39" x14ac:dyDescent="0.3">
      <c r="A270" s="64">
        <v>3</v>
      </c>
      <c r="B270" s="64" t="s">
        <v>395</v>
      </c>
      <c r="C270" s="212">
        <f>15*3.5</f>
        <v>52.5</v>
      </c>
      <c r="D270" s="209"/>
      <c r="L270" s="209"/>
      <c r="P270" s="213"/>
      <c r="T270" s="213"/>
      <c r="U270" s="212">
        <v>6</v>
      </c>
      <c r="V270" s="212" t="s">
        <v>395</v>
      </c>
      <c r="W270" s="212">
        <f>11*3.5</f>
        <v>38.5</v>
      </c>
      <c r="X270" s="213"/>
      <c r="AC270" s="212">
        <v>16</v>
      </c>
      <c r="AD270" s="212" t="s">
        <v>395</v>
      </c>
      <c r="AE270" s="212">
        <f>1*3.5</f>
        <v>3.5</v>
      </c>
      <c r="AF270" s="213"/>
      <c r="AK270" s="211">
        <f t="shared" si="9"/>
        <v>94.5</v>
      </c>
      <c r="AL270" s="64" t="s">
        <v>395</v>
      </c>
      <c r="AM270" t="s">
        <v>392</v>
      </c>
    </row>
    <row r="271" spans="1:39" x14ac:dyDescent="0.3">
      <c r="B271" s="64" t="s">
        <v>425</v>
      </c>
      <c r="D271" s="209"/>
      <c r="I271" s="64">
        <v>9</v>
      </c>
      <c r="J271" s="64" t="s">
        <v>425</v>
      </c>
      <c r="K271" s="64">
        <f>8*3.5</f>
        <v>28</v>
      </c>
      <c r="L271" s="209"/>
      <c r="P271" s="213"/>
      <c r="Q271" s="212">
        <v>7</v>
      </c>
      <c r="R271" s="212" t="s">
        <v>425</v>
      </c>
      <c r="S271" s="212">
        <f>10*3.5</f>
        <v>35</v>
      </c>
      <c r="T271" s="213"/>
      <c r="U271" s="213"/>
      <c r="X271" s="213"/>
      <c r="Y271" s="212">
        <v>7</v>
      </c>
      <c r="Z271" s="212" t="s">
        <v>425</v>
      </c>
      <c r="AA271" s="64">
        <f>10*3.5</f>
        <v>35</v>
      </c>
      <c r="AF271" s="213"/>
      <c r="AK271" s="211">
        <f t="shared" si="9"/>
        <v>98</v>
      </c>
      <c r="AL271" s="64" t="s">
        <v>425</v>
      </c>
      <c r="AM271" t="s">
        <v>392</v>
      </c>
    </row>
    <row r="272" spans="1:39" x14ac:dyDescent="0.3">
      <c r="B272" s="64" t="s">
        <v>393</v>
      </c>
      <c r="D272" s="209"/>
      <c r="I272" s="64">
        <v>5</v>
      </c>
      <c r="J272" s="64" t="s">
        <v>393</v>
      </c>
      <c r="K272" s="64">
        <f>12*3.5</f>
        <v>42</v>
      </c>
      <c r="L272" s="209"/>
      <c r="P272" s="213"/>
      <c r="Q272" s="64">
        <v>15</v>
      </c>
      <c r="R272" s="64" t="s">
        <v>393</v>
      </c>
      <c r="S272" s="212">
        <f>2*3.5</f>
        <v>7</v>
      </c>
      <c r="T272" s="213"/>
      <c r="X272" s="213"/>
      <c r="AF272" s="213"/>
      <c r="AK272" s="211">
        <f t="shared" si="9"/>
        <v>49</v>
      </c>
      <c r="AL272" s="64" t="s">
        <v>393</v>
      </c>
      <c r="AM272" t="s">
        <v>392</v>
      </c>
    </row>
    <row r="273" spans="1:39" x14ac:dyDescent="0.3">
      <c r="B273" s="64" t="s">
        <v>228</v>
      </c>
      <c r="D273" s="209"/>
      <c r="I273" s="64">
        <v>14</v>
      </c>
      <c r="J273" s="64" t="s">
        <v>228</v>
      </c>
      <c r="K273" s="64">
        <f>3*3.5</f>
        <v>10.5</v>
      </c>
      <c r="P273" s="213"/>
      <c r="T273" s="213"/>
      <c r="X273" s="213"/>
      <c r="AF273" s="213"/>
      <c r="AK273" s="211">
        <f t="shared" si="9"/>
        <v>10.5</v>
      </c>
      <c r="AL273" s="64" t="s">
        <v>228</v>
      </c>
      <c r="AM273" t="s">
        <v>392</v>
      </c>
    </row>
    <row r="274" spans="1:39" x14ac:dyDescent="0.3">
      <c r="B274" s="212" t="s">
        <v>401</v>
      </c>
      <c r="D274" s="209"/>
      <c r="M274" s="212">
        <v>12</v>
      </c>
      <c r="N274" s="212" t="s">
        <v>401</v>
      </c>
      <c r="O274" s="212">
        <f>5*4</f>
        <v>20</v>
      </c>
      <c r="P274" s="213"/>
      <c r="T274" s="213"/>
      <c r="X274" s="213"/>
      <c r="AC274" s="212">
        <v>9</v>
      </c>
      <c r="AD274" s="212" t="s">
        <v>401</v>
      </c>
      <c r="AE274" s="212">
        <f>8*3.5</f>
        <v>28</v>
      </c>
      <c r="AF274" s="213"/>
      <c r="AK274" s="211">
        <f t="shared" si="9"/>
        <v>48</v>
      </c>
      <c r="AL274" s="212" t="s">
        <v>401</v>
      </c>
      <c r="AM274" t="s">
        <v>392</v>
      </c>
    </row>
    <row r="275" spans="1:39" x14ac:dyDescent="0.3">
      <c r="B275" s="212" t="s">
        <v>285</v>
      </c>
      <c r="D275" s="209"/>
      <c r="P275" s="213"/>
      <c r="Q275" s="212">
        <v>9</v>
      </c>
      <c r="R275" s="212" t="s">
        <v>285</v>
      </c>
      <c r="S275" s="212">
        <f>8*3.5</f>
        <v>28</v>
      </c>
      <c r="T275" s="213"/>
      <c r="Y275" s="64">
        <v>14</v>
      </c>
      <c r="Z275" s="64" t="s">
        <v>285</v>
      </c>
      <c r="AA275" s="64">
        <f>3*3.5</f>
        <v>10.5</v>
      </c>
      <c r="AF275" s="213"/>
      <c r="AK275" s="211">
        <f t="shared" si="9"/>
        <v>38.5</v>
      </c>
      <c r="AL275" s="212" t="s">
        <v>285</v>
      </c>
      <c r="AM275" t="s">
        <v>392</v>
      </c>
    </row>
    <row r="276" spans="1:39" x14ac:dyDescent="0.3">
      <c r="B276" s="212" t="s">
        <v>404</v>
      </c>
      <c r="P276" s="213"/>
      <c r="Q276" s="212">
        <v>13</v>
      </c>
      <c r="R276" s="212" t="s">
        <v>404</v>
      </c>
      <c r="S276" s="212">
        <f>4*3.5</f>
        <v>14</v>
      </c>
      <c r="T276" s="213"/>
      <c r="AF276" s="213"/>
      <c r="AK276" s="211">
        <f t="shared" si="9"/>
        <v>14</v>
      </c>
      <c r="AL276" s="212" t="s">
        <v>404</v>
      </c>
      <c r="AM276" t="s">
        <v>392</v>
      </c>
    </row>
    <row r="277" spans="1:39" x14ac:dyDescent="0.3">
      <c r="P277" s="213"/>
      <c r="T277" s="213"/>
      <c r="AF277" s="213"/>
    </row>
    <row r="278" spans="1:39" x14ac:dyDescent="0.3">
      <c r="A278" s="210" t="s">
        <v>427</v>
      </c>
      <c r="T278" s="213"/>
      <c r="AF278" s="213"/>
    </row>
    <row r="279" spans="1:39" x14ac:dyDescent="0.3">
      <c r="A279" s="210">
        <v>130</v>
      </c>
      <c r="B279" s="210" t="s">
        <v>379</v>
      </c>
      <c r="E279" s="210">
        <v>130</v>
      </c>
      <c r="F279" s="210" t="s">
        <v>379</v>
      </c>
      <c r="I279" s="210">
        <v>135</v>
      </c>
      <c r="J279" s="210" t="s">
        <v>379</v>
      </c>
      <c r="M279" t="s">
        <v>91</v>
      </c>
      <c r="AF279" s="213"/>
    </row>
    <row r="280" spans="1:39" x14ac:dyDescent="0.3">
      <c r="A280" s="64">
        <v>14</v>
      </c>
      <c r="B280" s="64" t="s">
        <v>253</v>
      </c>
      <c r="C280" s="64">
        <f>3*3.5</f>
        <v>10.5</v>
      </c>
      <c r="D280" s="209"/>
      <c r="E280" s="64">
        <v>14</v>
      </c>
      <c r="F280" s="64" t="s">
        <v>253</v>
      </c>
      <c r="G280" s="64">
        <f>3*3.5</f>
        <v>10.5</v>
      </c>
      <c r="I280" s="64">
        <v>11</v>
      </c>
      <c r="J280" s="64" t="s">
        <v>253</v>
      </c>
      <c r="K280" s="64">
        <f>2*3.5</f>
        <v>7</v>
      </c>
      <c r="M280" s="214">
        <f t="shared" ref="M280:M289" si="10">C280+G280+K280</f>
        <v>28</v>
      </c>
      <c r="N280" t="s">
        <v>392</v>
      </c>
      <c r="AC280" s="213"/>
    </row>
    <row r="281" spans="1:39" x14ac:dyDescent="0.3">
      <c r="A281" s="64">
        <v>13</v>
      </c>
      <c r="B281" s="64" t="s">
        <v>426</v>
      </c>
      <c r="C281" s="64">
        <f>4*3.5</f>
        <v>14</v>
      </c>
      <c r="D281" s="209"/>
      <c r="E281" s="64">
        <v>15</v>
      </c>
      <c r="F281" s="64" t="s">
        <v>426</v>
      </c>
      <c r="G281" s="64">
        <f>2*3.5</f>
        <v>7</v>
      </c>
      <c r="H281" s="209"/>
      <c r="I281" s="64">
        <v>6</v>
      </c>
      <c r="J281" s="64" t="s">
        <v>426</v>
      </c>
      <c r="K281" s="64">
        <f>7*3.5</f>
        <v>24.5</v>
      </c>
      <c r="L281" s="209"/>
      <c r="M281" s="214">
        <f t="shared" si="10"/>
        <v>45.5</v>
      </c>
      <c r="N281" t="s">
        <v>392</v>
      </c>
    </row>
    <row r="282" spans="1:39" x14ac:dyDescent="0.3">
      <c r="A282" s="64">
        <v>3</v>
      </c>
      <c r="B282" s="64" t="s">
        <v>425</v>
      </c>
      <c r="C282" s="64">
        <f>15*3.5</f>
        <v>52.5</v>
      </c>
      <c r="D282" s="209"/>
      <c r="E282" s="64">
        <v>1</v>
      </c>
      <c r="F282" s="64" t="s">
        <v>425</v>
      </c>
      <c r="G282" s="64">
        <f>20*3.5</f>
        <v>70</v>
      </c>
      <c r="I282" s="64">
        <v>3</v>
      </c>
      <c r="J282" s="64" t="s">
        <v>425</v>
      </c>
      <c r="K282" s="64">
        <f>11*3.5</f>
        <v>38.5</v>
      </c>
      <c r="L282" s="209"/>
      <c r="M282" s="214">
        <f t="shared" si="10"/>
        <v>161</v>
      </c>
      <c r="N282" t="s">
        <v>392</v>
      </c>
    </row>
    <row r="283" spans="1:39" x14ac:dyDescent="0.3">
      <c r="D283" s="209"/>
      <c r="E283" s="64">
        <v>16</v>
      </c>
      <c r="F283" s="64" t="s">
        <v>271</v>
      </c>
      <c r="G283" s="64">
        <f>1*3.5</f>
        <v>3.5</v>
      </c>
      <c r="H283" s="209"/>
      <c r="J283" s="64" t="s">
        <v>271</v>
      </c>
      <c r="L283" s="209"/>
      <c r="M283" s="214">
        <f t="shared" si="10"/>
        <v>3.5</v>
      </c>
      <c r="N283" t="s">
        <v>392</v>
      </c>
    </row>
    <row r="284" spans="1:39" x14ac:dyDescent="0.3">
      <c r="A284" s="64">
        <v>1</v>
      </c>
      <c r="B284" s="64" t="s">
        <v>259</v>
      </c>
      <c r="C284" s="64">
        <f>20*3.5</f>
        <v>70</v>
      </c>
      <c r="D284" s="209"/>
      <c r="E284" s="64">
        <v>2</v>
      </c>
      <c r="F284" s="64" t="s">
        <v>259</v>
      </c>
      <c r="G284" s="64">
        <f>17*3.5</f>
        <v>59.5</v>
      </c>
      <c r="I284" s="64">
        <v>12</v>
      </c>
      <c r="J284" s="64" t="s">
        <v>259</v>
      </c>
      <c r="K284" s="64">
        <f>1*3.5</f>
        <v>3.5</v>
      </c>
      <c r="L284" s="209"/>
      <c r="M284" s="214">
        <f t="shared" si="10"/>
        <v>133</v>
      </c>
      <c r="N284" t="s">
        <v>392</v>
      </c>
    </row>
    <row r="285" spans="1:39" x14ac:dyDescent="0.3">
      <c r="A285" s="64">
        <v>6</v>
      </c>
      <c r="B285" s="64" t="s">
        <v>418</v>
      </c>
      <c r="C285" s="64">
        <f>11*3.5</f>
        <v>38.5</v>
      </c>
      <c r="D285" s="209"/>
      <c r="E285" s="64">
        <v>10</v>
      </c>
      <c r="F285" s="64" t="s">
        <v>418</v>
      </c>
      <c r="G285" s="64">
        <f>7*3.5</f>
        <v>24.5</v>
      </c>
      <c r="I285" s="64">
        <v>8</v>
      </c>
      <c r="J285" s="64" t="s">
        <v>418</v>
      </c>
      <c r="K285" s="64">
        <f>5*3.5</f>
        <v>17.5</v>
      </c>
      <c r="M285" s="214">
        <f t="shared" si="10"/>
        <v>80.5</v>
      </c>
      <c r="N285" t="s">
        <v>392</v>
      </c>
    </row>
    <row r="286" spans="1:39" x14ac:dyDescent="0.3">
      <c r="A286" s="64">
        <v>5</v>
      </c>
      <c r="B286" s="64" t="s">
        <v>284</v>
      </c>
      <c r="C286" s="64">
        <f>12*3.5</f>
        <v>42</v>
      </c>
      <c r="D286" s="209"/>
      <c r="E286" s="64">
        <v>3</v>
      </c>
      <c r="F286" s="64" t="s">
        <v>284</v>
      </c>
      <c r="G286" s="64">
        <f>15*3.5</f>
        <v>52.5</v>
      </c>
      <c r="H286" s="209"/>
      <c r="I286" s="64">
        <v>9</v>
      </c>
      <c r="J286" s="64" t="s">
        <v>284</v>
      </c>
      <c r="K286" s="64">
        <f>4*3.5</f>
        <v>14</v>
      </c>
      <c r="L286" s="209"/>
      <c r="M286" s="214">
        <f t="shared" si="10"/>
        <v>108.5</v>
      </c>
      <c r="N286" t="s">
        <v>392</v>
      </c>
    </row>
    <row r="287" spans="1:39" x14ac:dyDescent="0.3">
      <c r="A287" s="64">
        <v>15</v>
      </c>
      <c r="B287" s="64" t="s">
        <v>272</v>
      </c>
      <c r="C287" s="64">
        <f>2*3.5</f>
        <v>7</v>
      </c>
      <c r="D287" s="209"/>
      <c r="E287" s="64">
        <v>8</v>
      </c>
      <c r="F287" s="64" t="s">
        <v>272</v>
      </c>
      <c r="G287" s="64">
        <f>9*3.5</f>
        <v>31.5</v>
      </c>
      <c r="J287" s="64" t="s">
        <v>272</v>
      </c>
      <c r="L287" s="209"/>
      <c r="M287" s="214">
        <f t="shared" si="10"/>
        <v>38.5</v>
      </c>
      <c r="N287" t="s">
        <v>392</v>
      </c>
    </row>
    <row r="288" spans="1:39" x14ac:dyDescent="0.3">
      <c r="A288" s="64">
        <v>12</v>
      </c>
      <c r="B288" s="64" t="s">
        <v>424</v>
      </c>
      <c r="C288" s="64">
        <f>5*3.5</f>
        <v>17.5</v>
      </c>
      <c r="E288" s="64">
        <v>11</v>
      </c>
      <c r="F288" s="64" t="s">
        <v>424</v>
      </c>
      <c r="G288" s="64">
        <f>6*3.5</f>
        <v>21</v>
      </c>
      <c r="I288" s="64">
        <v>2</v>
      </c>
      <c r="J288" s="64" t="s">
        <v>424</v>
      </c>
      <c r="K288" s="64">
        <f>13*3.5</f>
        <v>45.5</v>
      </c>
      <c r="L288" s="209"/>
      <c r="M288" s="214">
        <f t="shared" si="10"/>
        <v>84</v>
      </c>
      <c r="N288" t="s">
        <v>392</v>
      </c>
    </row>
    <row r="289" spans="1:27" x14ac:dyDescent="0.3">
      <c r="D289" s="209"/>
      <c r="E289" s="64">
        <v>13</v>
      </c>
      <c r="F289" s="64" t="s">
        <v>288</v>
      </c>
      <c r="G289" s="64">
        <f>4*3.5</f>
        <v>14</v>
      </c>
      <c r="J289" s="64" t="s">
        <v>288</v>
      </c>
      <c r="M289" s="214">
        <f t="shared" si="10"/>
        <v>14</v>
      </c>
      <c r="N289" t="s">
        <v>392</v>
      </c>
    </row>
    <row r="290" spans="1:27" x14ac:dyDescent="0.3">
      <c r="A290" s="210" t="s">
        <v>423</v>
      </c>
      <c r="D290" s="209"/>
    </row>
    <row r="291" spans="1:27" x14ac:dyDescent="0.3">
      <c r="A291" s="210">
        <v>130</v>
      </c>
      <c r="B291" s="210" t="s">
        <v>379</v>
      </c>
      <c r="D291" s="209"/>
      <c r="E291" s="210">
        <v>135</v>
      </c>
      <c r="F291" s="210" t="s">
        <v>379</v>
      </c>
      <c r="I291" s="210">
        <v>130</v>
      </c>
      <c r="J291" s="210" t="s">
        <v>379</v>
      </c>
      <c r="M291" s="210">
        <v>135</v>
      </c>
      <c r="N291" s="210" t="s">
        <v>379</v>
      </c>
      <c r="Q291" s="210">
        <v>135</v>
      </c>
      <c r="R291" s="210" t="s">
        <v>379</v>
      </c>
      <c r="U291" s="210">
        <v>140</v>
      </c>
      <c r="V291" s="210" t="s">
        <v>379</v>
      </c>
      <c r="Y291" t="s">
        <v>91</v>
      </c>
    </row>
    <row r="292" spans="1:27" x14ac:dyDescent="0.3">
      <c r="A292" s="64">
        <v>3</v>
      </c>
      <c r="B292" s="64" t="s">
        <v>255</v>
      </c>
      <c r="C292" s="64">
        <f>10*3.5</f>
        <v>35</v>
      </c>
      <c r="D292" s="209"/>
      <c r="E292" s="64">
        <v>1</v>
      </c>
      <c r="F292" s="64" t="s">
        <v>255</v>
      </c>
      <c r="G292" s="64">
        <f>13*3.5</f>
        <v>45.5</v>
      </c>
      <c r="H292" s="209"/>
      <c r="L292" s="209"/>
      <c r="M292" s="64">
        <v>7</v>
      </c>
      <c r="N292" s="64" t="s">
        <v>255</v>
      </c>
      <c r="O292" s="64">
        <f>4*3.5</f>
        <v>14</v>
      </c>
      <c r="Q292" s="212">
        <v>4</v>
      </c>
      <c r="R292" s="212" t="s">
        <v>255</v>
      </c>
      <c r="S292" s="212">
        <f>1*3.5</f>
        <v>3.5</v>
      </c>
      <c r="T292" s="213"/>
      <c r="U292" s="64">
        <v>5</v>
      </c>
      <c r="V292" s="64" t="s">
        <v>255</v>
      </c>
      <c r="W292" s="64">
        <f>4*3.5</f>
        <v>14</v>
      </c>
      <c r="Y292" s="211">
        <f t="shared" ref="Y292:Y297" si="11">C292+G292+K292+O292+S292+W292</f>
        <v>112</v>
      </c>
      <c r="Z292" s="64" t="s">
        <v>255</v>
      </c>
      <c r="AA292" t="s">
        <v>392</v>
      </c>
    </row>
    <row r="293" spans="1:27" x14ac:dyDescent="0.3">
      <c r="D293" s="209"/>
      <c r="E293" s="64">
        <v>9</v>
      </c>
      <c r="F293" s="64" t="s">
        <v>422</v>
      </c>
      <c r="G293" s="64">
        <f>1*3.5</f>
        <v>3.5</v>
      </c>
      <c r="H293" s="209"/>
      <c r="L293" s="209"/>
      <c r="M293" s="64">
        <v>8</v>
      </c>
      <c r="N293" s="64" t="s">
        <v>422</v>
      </c>
      <c r="O293" s="64">
        <f>3*3.5</f>
        <v>10.5</v>
      </c>
      <c r="T293" s="213"/>
      <c r="U293" s="64">
        <v>6</v>
      </c>
      <c r="V293" s="64" t="s">
        <v>422</v>
      </c>
      <c r="W293" s="64">
        <f>3*3.5</f>
        <v>10.5</v>
      </c>
      <c r="Y293" s="211">
        <f t="shared" si="11"/>
        <v>24.5</v>
      </c>
      <c r="Z293" s="64" t="s">
        <v>422</v>
      </c>
      <c r="AA293" t="s">
        <v>392</v>
      </c>
    </row>
    <row r="294" spans="1:27" x14ac:dyDescent="0.3">
      <c r="D294" s="209"/>
      <c r="E294" s="64">
        <v>8</v>
      </c>
      <c r="F294" s="64" t="s">
        <v>395</v>
      </c>
      <c r="G294" s="64">
        <f>2*3.5</f>
        <v>7</v>
      </c>
      <c r="H294" s="209"/>
      <c r="L294" s="209"/>
      <c r="M294" s="64">
        <v>1</v>
      </c>
      <c r="N294" s="64" t="s">
        <v>395</v>
      </c>
      <c r="O294" s="64">
        <f>14*3.5</f>
        <v>49</v>
      </c>
      <c r="Q294" s="209"/>
      <c r="T294" s="213"/>
      <c r="U294" s="212">
        <v>3</v>
      </c>
      <c r="V294" s="212" t="s">
        <v>395</v>
      </c>
      <c r="W294" s="64">
        <f>7*3.5</f>
        <v>24.5</v>
      </c>
      <c r="Y294" s="211">
        <f t="shared" si="11"/>
        <v>80.5</v>
      </c>
      <c r="Z294" s="64" t="s">
        <v>395</v>
      </c>
      <c r="AA294" t="s">
        <v>392</v>
      </c>
    </row>
    <row r="295" spans="1:27" x14ac:dyDescent="0.3">
      <c r="A295" s="64">
        <v>10</v>
      </c>
      <c r="B295" s="64" t="s">
        <v>289</v>
      </c>
      <c r="C295" s="64">
        <f>2*3.5</f>
        <v>7</v>
      </c>
      <c r="D295" s="209"/>
      <c r="H295" s="209"/>
      <c r="L295" s="209"/>
      <c r="Q295" s="209"/>
      <c r="T295" s="213"/>
      <c r="Y295" s="211">
        <f t="shared" si="11"/>
        <v>7</v>
      </c>
      <c r="Z295" s="64" t="s">
        <v>289</v>
      </c>
      <c r="AA295" t="s">
        <v>392</v>
      </c>
    </row>
    <row r="296" spans="1:27" x14ac:dyDescent="0.3">
      <c r="A296" s="64">
        <v>8</v>
      </c>
      <c r="B296" s="64" t="s">
        <v>285</v>
      </c>
      <c r="C296" s="64">
        <f>4*3.5</f>
        <v>14</v>
      </c>
      <c r="D296" s="209"/>
      <c r="H296" s="209"/>
      <c r="I296" s="64">
        <v>5</v>
      </c>
      <c r="J296" s="64" t="s">
        <v>285</v>
      </c>
      <c r="K296" s="64">
        <f>3*3.5</f>
        <v>10.5</v>
      </c>
      <c r="L296" s="209"/>
      <c r="Q296" s="212">
        <v>3</v>
      </c>
      <c r="R296" s="212" t="s">
        <v>285</v>
      </c>
      <c r="S296" s="212">
        <f>3*3.5</f>
        <v>10.5</v>
      </c>
      <c r="Y296" s="211">
        <f t="shared" si="11"/>
        <v>35</v>
      </c>
      <c r="Z296" s="64" t="s">
        <v>285</v>
      </c>
      <c r="AA296" t="s">
        <v>392</v>
      </c>
    </row>
    <row r="297" spans="1:27" x14ac:dyDescent="0.3">
      <c r="A297" s="64">
        <v>5</v>
      </c>
      <c r="B297" s="64" t="s">
        <v>272</v>
      </c>
      <c r="C297" s="64">
        <f>7*3.5</f>
        <v>24.5</v>
      </c>
      <c r="D297" s="209"/>
      <c r="H297" s="209"/>
      <c r="I297" s="64">
        <v>3</v>
      </c>
      <c r="J297" s="64" t="s">
        <v>272</v>
      </c>
      <c r="K297" s="64">
        <f>6*3.5</f>
        <v>21</v>
      </c>
      <c r="L297" s="209"/>
      <c r="Q297" s="209"/>
      <c r="Y297" s="211">
        <f t="shared" si="11"/>
        <v>45.5</v>
      </c>
      <c r="Z297" s="64" t="s">
        <v>272</v>
      </c>
      <c r="AA297" t="s">
        <v>392</v>
      </c>
    </row>
    <row r="298" spans="1:27" x14ac:dyDescent="0.3">
      <c r="D298" s="209"/>
      <c r="H298" s="209"/>
      <c r="Q298" s="209"/>
      <c r="Y298" s="209"/>
    </row>
    <row r="299" spans="1:27" x14ac:dyDescent="0.3">
      <c r="A299" s="210" t="s">
        <v>421</v>
      </c>
      <c r="D299" s="209"/>
      <c r="H299" s="209"/>
    </row>
    <row r="300" spans="1:27" x14ac:dyDescent="0.3">
      <c r="B300" s="116">
        <v>130</v>
      </c>
      <c r="C300" s="116" t="s">
        <v>419</v>
      </c>
      <c r="D300" s="209"/>
      <c r="F300" s="116">
        <v>130</v>
      </c>
      <c r="G300" s="116" t="s">
        <v>419</v>
      </c>
      <c r="J300" s="116">
        <v>130</v>
      </c>
      <c r="K300" s="116" t="s">
        <v>419</v>
      </c>
      <c r="L300" t="s">
        <v>91</v>
      </c>
    </row>
    <row r="301" spans="1:27" x14ac:dyDescent="0.3">
      <c r="A301" s="64">
        <v>14</v>
      </c>
      <c r="B301" s="64" t="s">
        <v>270</v>
      </c>
      <c r="C301" s="64">
        <f>3*2.5</f>
        <v>7.5</v>
      </c>
      <c r="D301" s="209"/>
      <c r="E301" s="64">
        <v>15</v>
      </c>
      <c r="F301" s="64" t="s">
        <v>270</v>
      </c>
      <c r="G301" s="64">
        <f>2*2.5</f>
        <v>5</v>
      </c>
      <c r="I301" s="64">
        <v>4</v>
      </c>
      <c r="J301" s="64" t="s">
        <v>270</v>
      </c>
      <c r="K301" s="64">
        <f>13*2.5</f>
        <v>32.5</v>
      </c>
      <c r="L301" s="122">
        <f>C301+G301+K301</f>
        <v>45</v>
      </c>
    </row>
    <row r="302" spans="1:27" x14ac:dyDescent="0.3">
      <c r="A302" s="64">
        <v>3</v>
      </c>
      <c r="B302" s="64" t="s">
        <v>253</v>
      </c>
      <c r="C302" s="64">
        <f>15*2.5</f>
        <v>37.5</v>
      </c>
      <c r="E302" s="64">
        <v>14</v>
      </c>
      <c r="F302" s="64" t="s">
        <v>253</v>
      </c>
      <c r="G302" s="64">
        <f>3*2.5</f>
        <v>7.5</v>
      </c>
      <c r="I302" s="64">
        <v>6</v>
      </c>
      <c r="J302" s="64" t="s">
        <v>253</v>
      </c>
      <c r="K302" s="64">
        <f>11*2.5</f>
        <v>27.5</v>
      </c>
      <c r="L302" s="122">
        <f>C302+G302+K302</f>
        <v>72.5</v>
      </c>
    </row>
    <row r="303" spans="1:27" x14ac:dyDescent="0.3">
      <c r="E303" s="64">
        <v>13</v>
      </c>
      <c r="F303" s="64" t="s">
        <v>275</v>
      </c>
      <c r="G303" s="64">
        <f>4*2.5</f>
        <v>10</v>
      </c>
      <c r="L303" s="122">
        <f>C303+G303+K303</f>
        <v>10</v>
      </c>
    </row>
    <row r="304" spans="1:27" x14ac:dyDescent="0.3">
      <c r="A304" s="64">
        <v>13</v>
      </c>
      <c r="B304" s="64" t="s">
        <v>394</v>
      </c>
      <c r="C304" s="64">
        <f>4*2.5</f>
        <v>10</v>
      </c>
      <c r="E304" s="64">
        <v>3</v>
      </c>
      <c r="F304" s="64" t="s">
        <v>394</v>
      </c>
      <c r="G304" s="64">
        <f>15*2.5</f>
        <v>37.5</v>
      </c>
      <c r="I304" s="64">
        <v>9</v>
      </c>
      <c r="J304" s="64" t="s">
        <v>394</v>
      </c>
      <c r="K304" s="64">
        <f>8*2.5</f>
        <v>20</v>
      </c>
      <c r="L304" s="122">
        <f>C304+G304+K304</f>
        <v>67.5</v>
      </c>
    </row>
    <row r="305" spans="1:12" x14ac:dyDescent="0.3">
      <c r="I305" s="64">
        <v>2</v>
      </c>
      <c r="J305" s="64" t="s">
        <v>250</v>
      </c>
      <c r="K305" s="64">
        <f>17*2.5</f>
        <v>42.5</v>
      </c>
      <c r="L305" s="122">
        <f>C305+G305+K305</f>
        <v>42.5</v>
      </c>
    </row>
    <row r="307" spans="1:12" x14ac:dyDescent="0.3">
      <c r="A307" s="116" t="s">
        <v>420</v>
      </c>
    </row>
    <row r="308" spans="1:12" x14ac:dyDescent="0.3">
      <c r="B308" s="116">
        <v>130</v>
      </c>
      <c r="C308" s="116" t="s">
        <v>419</v>
      </c>
      <c r="D308" s="209"/>
      <c r="F308" s="116">
        <v>130</v>
      </c>
      <c r="G308" s="116" t="s">
        <v>419</v>
      </c>
      <c r="J308" s="116">
        <v>130</v>
      </c>
      <c r="K308" s="116" t="s">
        <v>419</v>
      </c>
      <c r="L308" s="116" t="s">
        <v>91</v>
      </c>
    </row>
    <row r="309" spans="1:12" x14ac:dyDescent="0.3">
      <c r="I309" s="64">
        <v>4</v>
      </c>
      <c r="J309" s="64" t="s">
        <v>253</v>
      </c>
      <c r="K309" s="64">
        <f>13*2.5</f>
        <v>32.5</v>
      </c>
      <c r="L309" s="116">
        <f t="shared" ref="L309:L316" si="12">C309+G309+K309</f>
        <v>32.5</v>
      </c>
    </row>
    <row r="310" spans="1:12" x14ac:dyDescent="0.3">
      <c r="A310" s="64">
        <v>3</v>
      </c>
      <c r="B310" s="64" t="s">
        <v>270</v>
      </c>
      <c r="C310" s="64">
        <f>15*2.5</f>
        <v>37.5</v>
      </c>
      <c r="E310" s="64">
        <v>7</v>
      </c>
      <c r="F310" s="64" t="s">
        <v>270</v>
      </c>
      <c r="G310" s="64">
        <f>10*2.5</f>
        <v>25</v>
      </c>
      <c r="L310" s="116">
        <f t="shared" si="12"/>
        <v>62.5</v>
      </c>
    </row>
    <row r="311" spans="1:12" x14ac:dyDescent="0.3">
      <c r="A311" s="64">
        <v>12</v>
      </c>
      <c r="B311" s="64" t="s">
        <v>262</v>
      </c>
      <c r="C311" s="64">
        <f>5*2.5</f>
        <v>12.5</v>
      </c>
      <c r="E311" s="64">
        <v>1</v>
      </c>
      <c r="F311" s="64" t="s">
        <v>262</v>
      </c>
      <c r="G311" s="64">
        <f>20*2.5</f>
        <v>50</v>
      </c>
      <c r="I311" s="64">
        <v>8</v>
      </c>
      <c r="J311" s="64" t="s">
        <v>262</v>
      </c>
      <c r="K311" s="64">
        <f>9*2.5</f>
        <v>22.5</v>
      </c>
      <c r="L311" s="116">
        <f t="shared" si="12"/>
        <v>85</v>
      </c>
    </row>
    <row r="312" spans="1:12" x14ac:dyDescent="0.3">
      <c r="A312" s="64">
        <v>2</v>
      </c>
      <c r="B312" s="64" t="s">
        <v>251</v>
      </c>
      <c r="C312" s="64">
        <f>17*2.5</f>
        <v>42.5</v>
      </c>
      <c r="I312" s="64">
        <v>3</v>
      </c>
      <c r="J312" s="64" t="s">
        <v>251</v>
      </c>
      <c r="K312" s="64">
        <f>15*2.5</f>
        <v>37.5</v>
      </c>
      <c r="L312" s="116">
        <f t="shared" si="12"/>
        <v>80</v>
      </c>
    </row>
    <row r="313" spans="1:12" x14ac:dyDescent="0.3">
      <c r="E313" s="64">
        <v>15</v>
      </c>
      <c r="F313" s="64" t="s">
        <v>250</v>
      </c>
      <c r="G313" s="64">
        <f>2*2.5</f>
        <v>5</v>
      </c>
      <c r="I313" s="64">
        <v>7</v>
      </c>
      <c r="J313" s="64" t="s">
        <v>250</v>
      </c>
      <c r="K313" s="64">
        <f>10*2.5</f>
        <v>25</v>
      </c>
      <c r="L313" s="116">
        <f t="shared" si="12"/>
        <v>30</v>
      </c>
    </row>
    <row r="314" spans="1:12" x14ac:dyDescent="0.3">
      <c r="E314" s="64">
        <v>12</v>
      </c>
      <c r="F314" s="64" t="s">
        <v>418</v>
      </c>
      <c r="G314" s="64">
        <f>5*2.5</f>
        <v>12.5</v>
      </c>
      <c r="I314" s="64">
        <v>9</v>
      </c>
      <c r="J314" s="64" t="s">
        <v>418</v>
      </c>
      <c r="K314" s="64">
        <f>8*2.5</f>
        <v>20</v>
      </c>
      <c r="L314" s="116">
        <f t="shared" si="12"/>
        <v>32.5</v>
      </c>
    </row>
    <row r="315" spans="1:12" x14ac:dyDescent="0.3">
      <c r="A315" s="64">
        <v>1</v>
      </c>
      <c r="B315" s="64" t="s">
        <v>249</v>
      </c>
      <c r="C315" s="64">
        <f>20*2.5</f>
        <v>50</v>
      </c>
      <c r="E315" s="64">
        <v>2</v>
      </c>
      <c r="F315" s="64" t="s">
        <v>249</v>
      </c>
      <c r="G315" s="64">
        <f>17*2.5</f>
        <v>42.5</v>
      </c>
      <c r="I315" s="64">
        <v>2</v>
      </c>
      <c r="J315" s="64" t="s">
        <v>249</v>
      </c>
      <c r="K315" s="64">
        <f>17*2.5</f>
        <v>42.5</v>
      </c>
      <c r="L315" s="116">
        <f t="shared" si="12"/>
        <v>135</v>
      </c>
    </row>
    <row r="316" spans="1:12" x14ac:dyDescent="0.3">
      <c r="I316" s="64">
        <v>14</v>
      </c>
      <c r="J316" s="64" t="s">
        <v>393</v>
      </c>
      <c r="K316" s="64">
        <f>3*2.5</f>
        <v>7.5</v>
      </c>
      <c r="L316" s="116">
        <f t="shared" si="12"/>
        <v>7.5</v>
      </c>
    </row>
    <row r="318" spans="1:12" x14ac:dyDescent="0.3">
      <c r="A318" s="116" t="s">
        <v>417</v>
      </c>
    </row>
    <row r="320" spans="1:12" x14ac:dyDescent="0.3">
      <c r="A320" s="116" t="s">
        <v>410</v>
      </c>
      <c r="B320" s="116"/>
    </row>
    <row r="321" spans="1:29" x14ac:dyDescent="0.3">
      <c r="A321" s="116">
        <v>140</v>
      </c>
      <c r="B321" s="116" t="s">
        <v>382</v>
      </c>
      <c r="F321" s="116">
        <v>130</v>
      </c>
      <c r="G321" s="116" t="s">
        <v>382</v>
      </c>
      <c r="J321" s="116">
        <v>135</v>
      </c>
      <c r="K321" s="116" t="s">
        <v>382</v>
      </c>
    </row>
    <row r="322" spans="1:29" x14ac:dyDescent="0.3">
      <c r="L322" t="s">
        <v>91</v>
      </c>
    </row>
    <row r="323" spans="1:29" x14ac:dyDescent="0.3">
      <c r="A323" s="64">
        <v>9</v>
      </c>
      <c r="B323" s="64" t="s">
        <v>416</v>
      </c>
      <c r="C323" s="64">
        <f>7*4.5</f>
        <v>31.5</v>
      </c>
      <c r="E323" s="64">
        <v>6</v>
      </c>
      <c r="F323" s="64" t="s">
        <v>416</v>
      </c>
      <c r="G323" s="64">
        <f>11*4.5</f>
        <v>49.5</v>
      </c>
      <c r="I323" s="64">
        <v>2</v>
      </c>
      <c r="J323" s="64" t="s">
        <v>416</v>
      </c>
      <c r="K323" s="64">
        <f>17*4.5</f>
        <v>76.5</v>
      </c>
      <c r="L323" s="116">
        <f>C323+G323+K323</f>
        <v>157.5</v>
      </c>
      <c r="M323" t="s">
        <v>392</v>
      </c>
    </row>
    <row r="325" spans="1:29" x14ac:dyDescent="0.3">
      <c r="A325" s="116" t="s">
        <v>409</v>
      </c>
    </row>
    <row r="326" spans="1:29" x14ac:dyDescent="0.3">
      <c r="A326" s="116">
        <v>135</v>
      </c>
      <c r="B326" s="116" t="s">
        <v>379</v>
      </c>
    </row>
    <row r="327" spans="1:29" x14ac:dyDescent="0.3">
      <c r="A327" s="64">
        <v>1</v>
      </c>
      <c r="B327" s="64" t="s">
        <v>416</v>
      </c>
      <c r="C327" s="64">
        <f>20*3.5</f>
        <v>70</v>
      </c>
    </row>
    <row r="329" spans="1:29" x14ac:dyDescent="0.3">
      <c r="A329" s="116" t="s">
        <v>415</v>
      </c>
    </row>
    <row r="330" spans="1:29" x14ac:dyDescent="0.3">
      <c r="A330" s="116" t="s">
        <v>413</v>
      </c>
      <c r="B330" s="116" t="s">
        <v>379</v>
      </c>
      <c r="F330" s="116">
        <v>135</v>
      </c>
      <c r="G330" s="116" t="s">
        <v>379</v>
      </c>
      <c r="J330" s="116">
        <v>140</v>
      </c>
      <c r="K330" s="116" t="s">
        <v>379</v>
      </c>
      <c r="N330" s="116">
        <v>140</v>
      </c>
      <c r="O330" s="116" t="s">
        <v>379</v>
      </c>
      <c r="R330" s="116">
        <v>145</v>
      </c>
      <c r="S330" s="116" t="s">
        <v>378</v>
      </c>
      <c r="V330" s="116">
        <v>145</v>
      </c>
      <c r="W330" s="116" t="s">
        <v>378</v>
      </c>
      <c r="Y330" s="134" t="s">
        <v>91</v>
      </c>
    </row>
    <row r="331" spans="1:29" x14ac:dyDescent="0.3">
      <c r="A331" s="64">
        <v>8</v>
      </c>
      <c r="B331" s="64" t="s">
        <v>262</v>
      </c>
      <c r="C331" s="64">
        <f>9*3.5</f>
        <v>31.5</v>
      </c>
      <c r="E331" s="64">
        <v>1</v>
      </c>
      <c r="F331" s="64" t="s">
        <v>262</v>
      </c>
      <c r="G331" s="64">
        <f>20*3.5</f>
        <v>70</v>
      </c>
      <c r="I331" s="64">
        <v>1</v>
      </c>
      <c r="J331" s="64" t="s">
        <v>262</v>
      </c>
      <c r="K331" s="64">
        <f>20*3.5</f>
        <v>70</v>
      </c>
      <c r="M331" s="64">
        <v>5</v>
      </c>
      <c r="N331" s="64" t="s">
        <v>262</v>
      </c>
      <c r="O331" s="64">
        <f>12*3.5</f>
        <v>42</v>
      </c>
      <c r="Q331" s="64">
        <v>15</v>
      </c>
      <c r="R331" s="64" t="s">
        <v>262</v>
      </c>
      <c r="S331" s="64">
        <f>2*4</f>
        <v>8</v>
      </c>
      <c r="U331" s="64">
        <v>6</v>
      </c>
      <c r="V331" s="64" t="s">
        <v>262</v>
      </c>
      <c r="W331" s="64">
        <f>11*4</f>
        <v>44</v>
      </c>
      <c r="Y331" s="134">
        <f>W331+S331+O331+K331+G331+C331</f>
        <v>265.5</v>
      </c>
    </row>
    <row r="332" spans="1:29" x14ac:dyDescent="0.3">
      <c r="Q332" s="64">
        <v>2</v>
      </c>
      <c r="R332" s="64" t="s">
        <v>250</v>
      </c>
      <c r="S332" s="64">
        <f>17*4</f>
        <v>68</v>
      </c>
      <c r="U332" s="64">
        <v>15</v>
      </c>
      <c r="V332" s="64" t="s">
        <v>250</v>
      </c>
      <c r="W332" s="64">
        <f>2*4</f>
        <v>8</v>
      </c>
      <c r="Y332" s="134">
        <f>W332+S332+O332+K332+G332+C332</f>
        <v>76</v>
      </c>
    </row>
    <row r="333" spans="1:29" x14ac:dyDescent="0.3">
      <c r="A333" s="64">
        <v>15</v>
      </c>
      <c r="B333" s="64" t="s">
        <v>249</v>
      </c>
      <c r="C333" s="64">
        <f>2*3.5</f>
        <v>7</v>
      </c>
      <c r="M333" s="64">
        <v>12</v>
      </c>
      <c r="N333" s="64" t="s">
        <v>249</v>
      </c>
      <c r="O333" s="64">
        <f>5*3.5</f>
        <v>17.5</v>
      </c>
      <c r="Q333" s="64">
        <v>4</v>
      </c>
      <c r="R333" s="64" t="s">
        <v>249</v>
      </c>
      <c r="S333" s="64">
        <f>13*4</f>
        <v>52</v>
      </c>
      <c r="X333" s="134"/>
      <c r="Y333" s="134">
        <f>W333+S333+O333+K333+G333+C333</f>
        <v>76.5</v>
      </c>
    </row>
    <row r="335" spans="1:29" x14ac:dyDescent="0.3">
      <c r="A335" s="116" t="s">
        <v>414</v>
      </c>
    </row>
    <row r="336" spans="1:29" x14ac:dyDescent="0.3">
      <c r="A336" s="116" t="s">
        <v>413</v>
      </c>
      <c r="B336" s="116" t="s">
        <v>379</v>
      </c>
      <c r="F336" s="116">
        <v>135</v>
      </c>
      <c r="G336" s="116" t="s">
        <v>379</v>
      </c>
      <c r="J336" s="116">
        <v>140</v>
      </c>
      <c r="K336" s="116" t="s">
        <v>379</v>
      </c>
      <c r="N336" s="116">
        <v>140</v>
      </c>
      <c r="O336" s="116" t="s">
        <v>379</v>
      </c>
      <c r="R336" s="116">
        <v>145</v>
      </c>
      <c r="S336" s="116" t="s">
        <v>378</v>
      </c>
      <c r="V336" s="116">
        <v>140</v>
      </c>
      <c r="W336" s="116" t="s">
        <v>379</v>
      </c>
      <c r="Z336" s="116">
        <v>145</v>
      </c>
      <c r="AA336" s="116" t="s">
        <v>378</v>
      </c>
      <c r="AC336" s="122" t="s">
        <v>91</v>
      </c>
    </row>
    <row r="337" spans="1:37" x14ac:dyDescent="0.3">
      <c r="A337" s="64">
        <v>15</v>
      </c>
      <c r="B337" s="81" t="s">
        <v>262</v>
      </c>
      <c r="C337" s="64">
        <f>2*3.5</f>
        <v>7</v>
      </c>
      <c r="I337" s="64">
        <v>3</v>
      </c>
      <c r="J337" s="64" t="s">
        <v>262</v>
      </c>
      <c r="K337" s="64">
        <f>15*3.5</f>
        <v>52.5</v>
      </c>
      <c r="U337" s="64">
        <v>7</v>
      </c>
      <c r="V337" s="64" t="s">
        <v>262</v>
      </c>
      <c r="W337" s="64">
        <f>10*3.5</f>
        <v>35</v>
      </c>
      <c r="AC337" s="116">
        <f>AA337+W337+S337+O337+K337+G337+C337</f>
        <v>94.5</v>
      </c>
    </row>
    <row r="338" spans="1:37" x14ac:dyDescent="0.3">
      <c r="A338" s="64">
        <v>2</v>
      </c>
      <c r="B338" s="64" t="s">
        <v>249</v>
      </c>
      <c r="C338" s="64">
        <f>17*3.5</f>
        <v>59.5</v>
      </c>
      <c r="E338" s="64">
        <v>16</v>
      </c>
      <c r="F338" s="64" t="s">
        <v>249</v>
      </c>
      <c r="G338" s="64">
        <f>1*3.5</f>
        <v>3.5</v>
      </c>
      <c r="M338" s="64">
        <v>8</v>
      </c>
      <c r="N338" s="64" t="s">
        <v>249</v>
      </c>
      <c r="O338" s="64">
        <f>9*3.5</f>
        <v>31.5</v>
      </c>
      <c r="Q338" s="64">
        <v>16</v>
      </c>
      <c r="R338" s="64" t="s">
        <v>249</v>
      </c>
      <c r="S338" s="64">
        <f>1*4</f>
        <v>4</v>
      </c>
      <c r="Y338" s="64">
        <v>1</v>
      </c>
      <c r="Z338" s="64" t="s">
        <v>249</v>
      </c>
      <c r="AA338" s="64">
        <f>20*4</f>
        <v>80</v>
      </c>
      <c r="AC338" s="116">
        <f>AA338+W338+S338+O338+K338+G338+C338</f>
        <v>178.5</v>
      </c>
    </row>
    <row r="339" spans="1:37" x14ac:dyDescent="0.3">
      <c r="A339" s="64">
        <v>6</v>
      </c>
      <c r="B339" s="81" t="s">
        <v>412</v>
      </c>
      <c r="C339" s="64">
        <f>11*3.5</f>
        <v>38.5</v>
      </c>
      <c r="I339" s="64">
        <v>7</v>
      </c>
      <c r="J339" s="81" t="s">
        <v>412</v>
      </c>
      <c r="K339" s="64">
        <f>10*3.5</f>
        <v>35</v>
      </c>
      <c r="Q339" s="64">
        <v>10</v>
      </c>
      <c r="R339" s="81" t="s">
        <v>412</v>
      </c>
      <c r="S339" s="64">
        <f>7*4</f>
        <v>28</v>
      </c>
      <c r="AC339" s="116">
        <f>AA339+W339+S339+O339+K339+G339+C339</f>
        <v>101.5</v>
      </c>
    </row>
    <row r="341" spans="1:37" x14ac:dyDescent="0.3">
      <c r="A341" s="116" t="s">
        <v>303</v>
      </c>
    </row>
    <row r="342" spans="1:37" x14ac:dyDescent="0.3">
      <c r="A342" s="116">
        <v>130</v>
      </c>
      <c r="B342" s="116" t="s">
        <v>379</v>
      </c>
      <c r="F342" s="116">
        <v>140</v>
      </c>
      <c r="G342" s="116" t="s">
        <v>379</v>
      </c>
      <c r="J342" s="116">
        <v>130</v>
      </c>
      <c r="K342" s="116" t="s">
        <v>379</v>
      </c>
      <c r="N342" s="116">
        <v>135</v>
      </c>
      <c r="O342" s="116" t="s">
        <v>379</v>
      </c>
      <c r="R342" s="116">
        <v>145</v>
      </c>
      <c r="S342" s="116" t="s">
        <v>378</v>
      </c>
      <c r="V342" s="116">
        <v>140</v>
      </c>
      <c r="W342" s="116" t="s">
        <v>379</v>
      </c>
      <c r="Z342" s="116">
        <v>135</v>
      </c>
      <c r="AA342" s="116" t="s">
        <v>379</v>
      </c>
      <c r="AD342" s="116" t="s">
        <v>406</v>
      </c>
      <c r="AE342" s="116" t="s">
        <v>382</v>
      </c>
      <c r="AG342" s="122" t="s">
        <v>91</v>
      </c>
    </row>
    <row r="343" spans="1:37" x14ac:dyDescent="0.3">
      <c r="E343" s="64">
        <v>1</v>
      </c>
      <c r="F343" s="64" t="s">
        <v>262</v>
      </c>
      <c r="G343" s="64">
        <f>20*3.5</f>
        <v>70</v>
      </c>
      <c r="M343" s="64">
        <v>1</v>
      </c>
      <c r="N343" s="64" t="s">
        <v>262</v>
      </c>
      <c r="O343" s="64">
        <f>20*3.5</f>
        <v>70</v>
      </c>
      <c r="Q343" s="64">
        <v>5</v>
      </c>
      <c r="R343" s="64" t="s">
        <v>262</v>
      </c>
      <c r="S343" s="64">
        <f>12*4</f>
        <v>48</v>
      </c>
      <c r="U343" s="64">
        <v>13</v>
      </c>
      <c r="V343" s="64" t="s">
        <v>262</v>
      </c>
      <c r="W343" s="64">
        <f>4*3.5</f>
        <v>14</v>
      </c>
      <c r="AC343" s="64">
        <v>14</v>
      </c>
      <c r="AD343" s="64" t="s">
        <v>262</v>
      </c>
      <c r="AE343" s="64">
        <f>3*4.5</f>
        <v>13.5</v>
      </c>
      <c r="AG343" s="122">
        <f>AE343+AA343+W343+S343+O343+K343+G343+C343</f>
        <v>215.5</v>
      </c>
    </row>
    <row r="344" spans="1:37" x14ac:dyDescent="0.3">
      <c r="E344" s="64">
        <v>10</v>
      </c>
      <c r="F344" s="64" t="s">
        <v>250</v>
      </c>
      <c r="G344" s="64">
        <f>7*3.5</f>
        <v>24.5</v>
      </c>
      <c r="Y344" s="64">
        <v>14</v>
      </c>
      <c r="Z344" s="64" t="s">
        <v>250</v>
      </c>
      <c r="AA344" s="64">
        <f>3*3.5</f>
        <v>10.5</v>
      </c>
      <c r="AD344" s="64" t="s">
        <v>250</v>
      </c>
      <c r="AG344" s="122">
        <f>AE344+AA344+W344+S344+O344+K344+G344+C344</f>
        <v>35</v>
      </c>
    </row>
    <row r="345" spans="1:37" x14ac:dyDescent="0.3">
      <c r="A345" s="64">
        <v>2</v>
      </c>
      <c r="B345" s="81" t="s">
        <v>394</v>
      </c>
      <c r="C345" s="64">
        <f>17*3.5</f>
        <v>59.5</v>
      </c>
      <c r="I345" s="64">
        <v>6</v>
      </c>
      <c r="J345" s="64" t="s">
        <v>394</v>
      </c>
      <c r="K345" s="64">
        <f>11*3.5</f>
        <v>38.5</v>
      </c>
      <c r="AD345" s="81" t="s">
        <v>394</v>
      </c>
      <c r="AG345" s="122">
        <f>AE345+AA345+W345+S345+O345+K345+G345+C345</f>
        <v>98</v>
      </c>
    </row>
    <row r="346" spans="1:37" x14ac:dyDescent="0.3">
      <c r="A346" s="64">
        <v>1</v>
      </c>
      <c r="B346" s="64" t="s">
        <v>249</v>
      </c>
      <c r="C346" s="64">
        <f>20*3.5</f>
        <v>70</v>
      </c>
      <c r="E346" s="64">
        <v>9</v>
      </c>
      <c r="F346" s="64" t="s">
        <v>249</v>
      </c>
      <c r="G346" s="64">
        <f>8*3.5</f>
        <v>28</v>
      </c>
      <c r="I346" s="64">
        <v>3</v>
      </c>
      <c r="J346" s="64" t="s">
        <v>249</v>
      </c>
      <c r="K346" s="64">
        <f>15*3.5</f>
        <v>52.5</v>
      </c>
      <c r="AC346" s="64">
        <v>8</v>
      </c>
      <c r="AD346" s="64" t="s">
        <v>249</v>
      </c>
      <c r="AE346" s="64">
        <f>9*4.5</f>
        <v>40.5</v>
      </c>
      <c r="AG346" s="122">
        <f>AE346+AA346+W346+S346+O346+K346+G346+C346</f>
        <v>191</v>
      </c>
    </row>
    <row r="347" spans="1:37" x14ac:dyDescent="0.3">
      <c r="A347" s="64">
        <v>3</v>
      </c>
      <c r="B347" s="81" t="s">
        <v>412</v>
      </c>
      <c r="C347" s="64">
        <f>15*3.5</f>
        <v>52.5</v>
      </c>
      <c r="M347" s="64">
        <v>16</v>
      </c>
      <c r="N347" s="81" t="s">
        <v>412</v>
      </c>
      <c r="O347" s="64">
        <f>1*3.5</f>
        <v>3.5</v>
      </c>
      <c r="Q347" s="64">
        <v>11</v>
      </c>
      <c r="R347" s="81" t="s">
        <v>412</v>
      </c>
      <c r="S347" s="64">
        <f>6*4</f>
        <v>24</v>
      </c>
      <c r="AD347" s="81" t="s">
        <v>412</v>
      </c>
      <c r="AG347" s="122">
        <f>AE347+AA347+W347+S347+O347+K347+G347+C347</f>
        <v>80</v>
      </c>
    </row>
    <row r="349" spans="1:37" x14ac:dyDescent="0.3">
      <c r="A349" s="116" t="s">
        <v>411</v>
      </c>
    </row>
    <row r="350" spans="1:37" x14ac:dyDescent="0.3">
      <c r="A350" s="116">
        <v>130</v>
      </c>
      <c r="B350" s="116" t="s">
        <v>379</v>
      </c>
      <c r="F350" s="116">
        <v>135</v>
      </c>
      <c r="G350" s="116" t="s">
        <v>379</v>
      </c>
      <c r="J350" s="116">
        <v>140</v>
      </c>
      <c r="K350" s="116" t="s">
        <v>379</v>
      </c>
      <c r="N350" s="116">
        <v>130</v>
      </c>
      <c r="O350" s="116" t="s">
        <v>379</v>
      </c>
      <c r="R350" s="116">
        <v>135</v>
      </c>
      <c r="S350" s="116" t="s">
        <v>379</v>
      </c>
      <c r="V350" s="116">
        <v>145</v>
      </c>
      <c r="W350" s="116" t="s">
        <v>378</v>
      </c>
      <c r="Z350" s="116">
        <v>135</v>
      </c>
      <c r="AA350" s="116" t="s">
        <v>379</v>
      </c>
      <c r="AD350" s="116">
        <v>140</v>
      </c>
      <c r="AE350" s="116" t="s">
        <v>379</v>
      </c>
      <c r="AH350" s="116">
        <v>145</v>
      </c>
      <c r="AI350" s="116" t="s">
        <v>378</v>
      </c>
      <c r="AK350" s="122" t="s">
        <v>91</v>
      </c>
    </row>
    <row r="351" spans="1:37" x14ac:dyDescent="0.3">
      <c r="A351" s="64">
        <v>1</v>
      </c>
      <c r="B351" s="64" t="s">
        <v>262</v>
      </c>
      <c r="C351" s="64">
        <f>20*3.5</f>
        <v>70</v>
      </c>
      <c r="E351" s="64">
        <v>1</v>
      </c>
      <c r="F351" s="64" t="s">
        <v>262</v>
      </c>
      <c r="G351" s="64">
        <f>20*3.5</f>
        <v>70</v>
      </c>
      <c r="I351" s="64">
        <v>5</v>
      </c>
      <c r="J351" s="64" t="s">
        <v>262</v>
      </c>
      <c r="K351" s="64">
        <f>12*3.5</f>
        <v>42</v>
      </c>
      <c r="U351" s="64">
        <v>1</v>
      </c>
      <c r="V351" s="64" t="s">
        <v>262</v>
      </c>
      <c r="W351" s="64">
        <f>20*4</f>
        <v>80</v>
      </c>
      <c r="AG351" s="64">
        <v>11</v>
      </c>
      <c r="AH351" s="64" t="s">
        <v>262</v>
      </c>
      <c r="AI351" s="64">
        <f>6*4</f>
        <v>24</v>
      </c>
      <c r="AK351" s="122">
        <f t="shared" ref="AK351:AK357" si="13">AI351+AE351+AA351+W351+S351+O351+K351+G351+C351</f>
        <v>286</v>
      </c>
    </row>
    <row r="352" spans="1:37" x14ac:dyDescent="0.3">
      <c r="E352" s="64">
        <v>7</v>
      </c>
      <c r="F352" s="81" t="s">
        <v>394</v>
      </c>
      <c r="G352" s="64">
        <f>10*3.5</f>
        <v>35</v>
      </c>
      <c r="Q352" s="64">
        <v>3</v>
      </c>
      <c r="R352" s="64" t="s">
        <v>394</v>
      </c>
      <c r="S352" s="64">
        <f>15*3.5</f>
        <v>52.5</v>
      </c>
      <c r="AC352" s="64">
        <v>2</v>
      </c>
      <c r="AD352" s="64" t="s">
        <v>394</v>
      </c>
      <c r="AE352" s="64">
        <f>17*3.5</f>
        <v>59.5</v>
      </c>
      <c r="AG352" s="64"/>
      <c r="AH352" s="64" t="s">
        <v>394</v>
      </c>
      <c r="AI352" s="64"/>
      <c r="AK352" s="122">
        <f t="shared" si="13"/>
        <v>147</v>
      </c>
    </row>
    <row r="353" spans="1:37" x14ac:dyDescent="0.3">
      <c r="I353" s="64">
        <v>11</v>
      </c>
      <c r="J353" s="64" t="s">
        <v>251</v>
      </c>
      <c r="K353" s="64">
        <f>6*3.5</f>
        <v>21</v>
      </c>
      <c r="M353" s="64">
        <v>15</v>
      </c>
      <c r="N353" s="64" t="s">
        <v>251</v>
      </c>
      <c r="O353" s="64">
        <f>2*3.5</f>
        <v>7</v>
      </c>
      <c r="AG353" s="64"/>
      <c r="AH353" s="64" t="s">
        <v>251</v>
      </c>
      <c r="AI353" s="64"/>
      <c r="AK353" s="122">
        <f t="shared" si="13"/>
        <v>28</v>
      </c>
    </row>
    <row r="354" spans="1:37" x14ac:dyDescent="0.3">
      <c r="I354" s="64">
        <v>16</v>
      </c>
      <c r="J354" s="64" t="s">
        <v>249</v>
      </c>
      <c r="K354" s="64">
        <f>1*3.5</f>
        <v>3.5</v>
      </c>
      <c r="Q354" s="64">
        <v>2</v>
      </c>
      <c r="R354" s="64" t="s">
        <v>249</v>
      </c>
      <c r="S354" s="64">
        <f>17*3.5</f>
        <v>59.5</v>
      </c>
      <c r="AC354" s="64">
        <v>6</v>
      </c>
      <c r="AD354" s="64" t="s">
        <v>249</v>
      </c>
      <c r="AE354" s="64">
        <f>11*3.5</f>
        <v>38.5</v>
      </c>
      <c r="AG354" s="64">
        <v>9</v>
      </c>
      <c r="AH354" s="64" t="s">
        <v>249</v>
      </c>
      <c r="AI354" s="64">
        <f>8*4</f>
        <v>32</v>
      </c>
      <c r="AK354" s="122">
        <f t="shared" si="13"/>
        <v>133.5</v>
      </c>
    </row>
    <row r="355" spans="1:37" x14ac:dyDescent="0.3">
      <c r="Q355" s="64">
        <v>13</v>
      </c>
      <c r="R355" s="64" t="s">
        <v>276</v>
      </c>
      <c r="S355" s="64">
        <f>4*3.5</f>
        <v>14</v>
      </c>
      <c r="AG355" s="64"/>
      <c r="AH355" s="64" t="s">
        <v>276</v>
      </c>
      <c r="AI355" s="64"/>
      <c r="AK355" s="122">
        <f t="shared" si="13"/>
        <v>14</v>
      </c>
    </row>
    <row r="356" spans="1:37" x14ac:dyDescent="0.3">
      <c r="Y356" s="64">
        <v>15</v>
      </c>
      <c r="Z356" s="64" t="s">
        <v>393</v>
      </c>
      <c r="AA356" s="64">
        <f>2*3.5</f>
        <v>7</v>
      </c>
      <c r="AG356" s="64"/>
      <c r="AH356" s="64" t="s">
        <v>393</v>
      </c>
      <c r="AI356" s="64"/>
      <c r="AK356" s="122">
        <f t="shared" si="13"/>
        <v>7</v>
      </c>
    </row>
    <row r="357" spans="1:37" x14ac:dyDescent="0.3">
      <c r="Q357" s="64">
        <v>8</v>
      </c>
      <c r="R357" s="64" t="s">
        <v>253</v>
      </c>
      <c r="S357" s="64">
        <f>9*3.5</f>
        <v>31.5</v>
      </c>
      <c r="AG357" s="64"/>
      <c r="AH357" s="64" t="s">
        <v>253</v>
      </c>
      <c r="AI357" s="64"/>
      <c r="AK357" s="122">
        <f t="shared" si="13"/>
        <v>31.5</v>
      </c>
    </row>
    <row r="359" spans="1:37" x14ac:dyDescent="0.3">
      <c r="A359" s="116" t="s">
        <v>307</v>
      </c>
    </row>
    <row r="360" spans="1:37" x14ac:dyDescent="0.3">
      <c r="A360" s="116">
        <v>130</v>
      </c>
      <c r="B360" s="116" t="s">
        <v>379</v>
      </c>
      <c r="F360" s="116">
        <v>140</v>
      </c>
      <c r="G360" s="116" t="s">
        <v>379</v>
      </c>
      <c r="J360" s="116">
        <v>130</v>
      </c>
      <c r="K360" s="116" t="s">
        <v>379</v>
      </c>
      <c r="N360" s="116">
        <v>145</v>
      </c>
      <c r="O360" s="116" t="s">
        <v>378</v>
      </c>
      <c r="Q360" s="122" t="s">
        <v>91</v>
      </c>
    </row>
    <row r="361" spans="1:37" x14ac:dyDescent="0.3">
      <c r="A361" s="64">
        <v>2</v>
      </c>
      <c r="B361" s="64" t="s">
        <v>262</v>
      </c>
      <c r="C361" s="64">
        <f>17*3.5</f>
        <v>59.5</v>
      </c>
      <c r="E361" s="64">
        <v>1</v>
      </c>
      <c r="F361" s="64" t="s">
        <v>262</v>
      </c>
      <c r="G361" s="64">
        <f>20*3.5</f>
        <v>70</v>
      </c>
      <c r="I361" s="64">
        <v>2</v>
      </c>
      <c r="J361" s="64" t="s">
        <v>262</v>
      </c>
      <c r="K361" s="64">
        <f>17*3.5</f>
        <v>59.5</v>
      </c>
      <c r="Q361" s="122">
        <f>O361+K361+G361+C361</f>
        <v>189</v>
      </c>
    </row>
    <row r="362" spans="1:37" x14ac:dyDescent="0.3">
      <c r="A362" s="64">
        <v>1</v>
      </c>
      <c r="B362" s="64" t="s">
        <v>249</v>
      </c>
      <c r="C362" s="64">
        <f>20*3.5</f>
        <v>70</v>
      </c>
      <c r="M362" s="64">
        <v>7</v>
      </c>
      <c r="N362" s="64" t="s">
        <v>249</v>
      </c>
      <c r="O362" s="64">
        <f>10*4</f>
        <v>40</v>
      </c>
      <c r="Q362" s="122">
        <f>O362+K362+G362+C362</f>
        <v>110</v>
      </c>
    </row>
    <row r="364" spans="1:37" x14ac:dyDescent="0.3">
      <c r="A364" s="116" t="s">
        <v>410</v>
      </c>
    </row>
    <row r="365" spans="1:37" x14ac:dyDescent="0.3">
      <c r="A365" s="116">
        <v>140</v>
      </c>
      <c r="B365" s="116" t="s">
        <v>382</v>
      </c>
    </row>
    <row r="366" spans="1:37" x14ac:dyDescent="0.3">
      <c r="A366" s="64">
        <v>14</v>
      </c>
      <c r="B366" s="64" t="s">
        <v>286</v>
      </c>
      <c r="C366" s="64">
        <f>3*4.5</f>
        <v>13.5</v>
      </c>
    </row>
    <row r="368" spans="1:37" x14ac:dyDescent="0.3">
      <c r="A368" s="116" t="s">
        <v>409</v>
      </c>
    </row>
    <row r="369" spans="1:30" x14ac:dyDescent="0.3">
      <c r="A369" s="116">
        <v>135</v>
      </c>
      <c r="B369" s="116" t="s">
        <v>379</v>
      </c>
    </row>
    <row r="370" spans="1:30" x14ac:dyDescent="0.3">
      <c r="A370" s="205">
        <v>6</v>
      </c>
      <c r="B370" s="64" t="s">
        <v>286</v>
      </c>
      <c r="C370" s="64">
        <f>11*3.5</f>
        <v>38.5</v>
      </c>
    </row>
    <row r="372" spans="1:30" x14ac:dyDescent="0.3">
      <c r="A372" s="116" t="s">
        <v>408</v>
      </c>
    </row>
    <row r="373" spans="1:30" x14ac:dyDescent="0.3">
      <c r="A373" s="116">
        <v>130</v>
      </c>
      <c r="B373" s="116" t="s">
        <v>379</v>
      </c>
      <c r="F373" s="116">
        <v>135</v>
      </c>
      <c r="G373" s="116" t="s">
        <v>379</v>
      </c>
      <c r="J373" s="116">
        <v>140</v>
      </c>
      <c r="K373" s="116" t="s">
        <v>379</v>
      </c>
      <c r="N373" s="116">
        <v>135</v>
      </c>
      <c r="O373" s="116" t="s">
        <v>379</v>
      </c>
      <c r="R373" s="116">
        <v>145</v>
      </c>
      <c r="S373" s="116" t="s">
        <v>378</v>
      </c>
      <c r="V373" s="116">
        <v>140</v>
      </c>
      <c r="W373" s="116" t="s">
        <v>379</v>
      </c>
      <c r="Z373" s="116" t="s">
        <v>406</v>
      </c>
      <c r="AA373" s="116" t="s">
        <v>382</v>
      </c>
      <c r="AC373" s="122" t="s">
        <v>91</v>
      </c>
    </row>
    <row r="374" spans="1:30" x14ac:dyDescent="0.3">
      <c r="U374" s="64">
        <v>4</v>
      </c>
      <c r="V374" s="64" t="s">
        <v>407</v>
      </c>
      <c r="W374" s="64">
        <f>13*3.5</f>
        <v>45.5</v>
      </c>
      <c r="Y374" s="64"/>
      <c r="Z374" s="64" t="s">
        <v>407</v>
      </c>
      <c r="AA374" s="64"/>
      <c r="AC374" s="122">
        <f t="shared" ref="AC374:AC384" si="14">AA374+W374+S374+O374+K374+G374+C374</f>
        <v>45.5</v>
      </c>
      <c r="AD374" t="s">
        <v>392</v>
      </c>
    </row>
    <row r="375" spans="1:30" x14ac:dyDescent="0.3">
      <c r="M375" s="64">
        <v>7</v>
      </c>
      <c r="N375" s="64" t="s">
        <v>253</v>
      </c>
      <c r="O375" s="64">
        <f>10*3.5</f>
        <v>35</v>
      </c>
      <c r="U375" s="64">
        <v>14</v>
      </c>
      <c r="V375" s="64" t="s">
        <v>253</v>
      </c>
      <c r="W375" s="64">
        <f>3*3.5</f>
        <v>10.5</v>
      </c>
      <c r="Y375" s="64"/>
      <c r="Z375" s="64" t="s">
        <v>253</v>
      </c>
      <c r="AA375" s="64"/>
      <c r="AC375" s="122">
        <f t="shared" si="14"/>
        <v>45.5</v>
      </c>
      <c r="AD375" t="s">
        <v>392</v>
      </c>
    </row>
    <row r="376" spans="1:30" x14ac:dyDescent="0.3">
      <c r="A376" s="205">
        <v>1</v>
      </c>
      <c r="B376" s="64" t="s">
        <v>262</v>
      </c>
      <c r="C376" s="64">
        <f>20*3.5</f>
        <v>70</v>
      </c>
      <c r="I376" s="64">
        <v>4</v>
      </c>
      <c r="J376" s="64" t="s">
        <v>262</v>
      </c>
      <c r="K376" s="64">
        <f>13*3.5</f>
        <v>45.5</v>
      </c>
      <c r="Q376" s="64">
        <v>3</v>
      </c>
      <c r="R376" s="64" t="s">
        <v>262</v>
      </c>
      <c r="S376" s="64">
        <f>15*4</f>
        <v>60</v>
      </c>
      <c r="U376" s="64">
        <v>8</v>
      </c>
      <c r="V376" s="64" t="s">
        <v>262</v>
      </c>
      <c r="W376" s="64">
        <f>9*3.5</f>
        <v>31.5</v>
      </c>
      <c r="Y376" s="64">
        <v>7</v>
      </c>
      <c r="Z376" s="64" t="s">
        <v>262</v>
      </c>
      <c r="AA376" s="64">
        <f>10*4.5</f>
        <v>45</v>
      </c>
      <c r="AC376" s="122">
        <f t="shared" si="14"/>
        <v>252</v>
      </c>
      <c r="AD376" t="s">
        <v>392</v>
      </c>
    </row>
    <row r="377" spans="1:30" x14ac:dyDescent="0.3">
      <c r="E377" s="64">
        <v>3</v>
      </c>
      <c r="F377" s="64" t="s">
        <v>250</v>
      </c>
      <c r="G377" s="64">
        <f>15*3.5</f>
        <v>52.5</v>
      </c>
      <c r="I377" s="64">
        <v>12</v>
      </c>
      <c r="J377" s="64" t="s">
        <v>250</v>
      </c>
      <c r="K377" s="64">
        <f>5*3.5</f>
        <v>17.5</v>
      </c>
      <c r="U377" s="64">
        <v>9</v>
      </c>
      <c r="V377" s="64" t="s">
        <v>250</v>
      </c>
      <c r="W377" s="64">
        <f>8*3.5</f>
        <v>28</v>
      </c>
      <c r="Y377" s="64"/>
      <c r="Z377" s="64" t="s">
        <v>250</v>
      </c>
      <c r="AA377" s="64"/>
      <c r="AC377" s="122">
        <f t="shared" si="14"/>
        <v>98</v>
      </c>
      <c r="AD377" t="s">
        <v>392</v>
      </c>
    </row>
    <row r="378" spans="1:30" x14ac:dyDescent="0.3">
      <c r="A378" s="205">
        <v>6</v>
      </c>
      <c r="B378" s="64" t="s">
        <v>249</v>
      </c>
      <c r="C378" s="64">
        <f>11*3.5</f>
        <v>38.5</v>
      </c>
      <c r="E378" s="64">
        <v>1</v>
      </c>
      <c r="F378" s="64" t="s">
        <v>249</v>
      </c>
      <c r="G378" s="64">
        <f>20*3.5</f>
        <v>70</v>
      </c>
      <c r="I378" s="64">
        <v>3</v>
      </c>
      <c r="J378" s="64" t="s">
        <v>249</v>
      </c>
      <c r="K378" s="64">
        <f>15*3.5</f>
        <v>52.5</v>
      </c>
      <c r="M378" s="64">
        <v>12</v>
      </c>
      <c r="N378" s="64" t="s">
        <v>249</v>
      </c>
      <c r="O378" s="64">
        <f>5*3.5</f>
        <v>17.5</v>
      </c>
      <c r="Q378" s="64">
        <v>7</v>
      </c>
      <c r="R378" s="64" t="s">
        <v>249</v>
      </c>
      <c r="S378" s="64">
        <f>10*4</f>
        <v>40</v>
      </c>
      <c r="U378" s="64">
        <v>1</v>
      </c>
      <c r="V378" s="64" t="s">
        <v>249</v>
      </c>
      <c r="W378" s="64">
        <f>20*3.5</f>
        <v>70</v>
      </c>
      <c r="Y378" s="64">
        <v>6</v>
      </c>
      <c r="Z378" s="64" t="s">
        <v>249</v>
      </c>
      <c r="AA378" s="64">
        <f>11*4.5</f>
        <v>49.5</v>
      </c>
      <c r="AC378" s="122">
        <f t="shared" si="14"/>
        <v>338</v>
      </c>
      <c r="AD378" t="s">
        <v>392</v>
      </c>
    </row>
    <row r="379" spans="1:30" x14ac:dyDescent="0.3">
      <c r="I379" s="64">
        <v>5</v>
      </c>
      <c r="J379" s="64" t="s">
        <v>197</v>
      </c>
      <c r="K379" s="64">
        <f>12*3.5</f>
        <v>42</v>
      </c>
      <c r="Q379" s="64">
        <v>6</v>
      </c>
      <c r="R379" s="64" t="s">
        <v>197</v>
      </c>
      <c r="S379" s="64">
        <f>11*4</f>
        <v>44</v>
      </c>
      <c r="Y379" s="64"/>
      <c r="Z379" s="64" t="s">
        <v>197</v>
      </c>
      <c r="AA379" s="64"/>
      <c r="AC379" s="122">
        <f t="shared" si="14"/>
        <v>86</v>
      </c>
      <c r="AD379" t="s">
        <v>392</v>
      </c>
    </row>
    <row r="380" spans="1:30" x14ac:dyDescent="0.3">
      <c r="I380" s="64">
        <v>6</v>
      </c>
      <c r="J380" s="64" t="s">
        <v>405</v>
      </c>
      <c r="K380" s="64">
        <f>11*3.5</f>
        <v>38.5</v>
      </c>
      <c r="Q380" s="64">
        <v>14</v>
      </c>
      <c r="R380" s="64" t="s">
        <v>405</v>
      </c>
      <c r="S380" s="64">
        <f>3*4</f>
        <v>12</v>
      </c>
      <c r="Y380" s="64"/>
      <c r="Z380" s="64" t="s">
        <v>405</v>
      </c>
      <c r="AA380" s="64"/>
      <c r="AC380" s="122">
        <f t="shared" si="14"/>
        <v>50.5</v>
      </c>
      <c r="AD380" t="s">
        <v>392</v>
      </c>
    </row>
    <row r="381" spans="1:30" x14ac:dyDescent="0.3">
      <c r="I381" s="64">
        <v>11</v>
      </c>
      <c r="J381" s="64" t="s">
        <v>404</v>
      </c>
      <c r="K381" s="64">
        <f>6*3.5</f>
        <v>21</v>
      </c>
      <c r="Y381" s="64"/>
      <c r="Z381" s="64" t="s">
        <v>404</v>
      </c>
      <c r="AA381" s="64"/>
      <c r="AC381" s="122">
        <f t="shared" si="14"/>
        <v>21</v>
      </c>
      <c r="AD381" t="s">
        <v>392</v>
      </c>
    </row>
    <row r="382" spans="1:30" x14ac:dyDescent="0.3">
      <c r="E382" s="64">
        <v>9</v>
      </c>
      <c r="F382" s="64" t="s">
        <v>401</v>
      </c>
      <c r="G382" s="64">
        <f>8*3.5</f>
        <v>28</v>
      </c>
      <c r="Y382" s="64"/>
      <c r="Z382" s="64" t="s">
        <v>401</v>
      </c>
      <c r="AA382" s="64"/>
      <c r="AC382" s="122">
        <f t="shared" si="14"/>
        <v>28</v>
      </c>
      <c r="AD382" t="s">
        <v>392</v>
      </c>
    </row>
    <row r="383" spans="1:30" x14ac:dyDescent="0.3">
      <c r="M383" s="64">
        <v>11</v>
      </c>
      <c r="N383" s="64" t="s">
        <v>252</v>
      </c>
      <c r="O383" s="64">
        <f>6*3.5</f>
        <v>21</v>
      </c>
      <c r="U383" s="64">
        <v>12</v>
      </c>
      <c r="V383" s="64" t="s">
        <v>252</v>
      </c>
      <c r="W383" s="64">
        <f>5*3.5</f>
        <v>17.5</v>
      </c>
      <c r="Y383" s="64">
        <v>13</v>
      </c>
      <c r="Z383" s="64" t="s">
        <v>252</v>
      </c>
      <c r="AA383" s="64">
        <f>4*4.5</f>
        <v>18</v>
      </c>
      <c r="AC383" s="122">
        <f t="shared" si="14"/>
        <v>56.5</v>
      </c>
      <c r="AD383" t="s">
        <v>392</v>
      </c>
    </row>
    <row r="384" spans="1:30" x14ac:dyDescent="0.3">
      <c r="Q384" s="64">
        <v>11</v>
      </c>
      <c r="R384" s="81" t="s">
        <v>251</v>
      </c>
      <c r="S384" s="64">
        <f>6*4</f>
        <v>24</v>
      </c>
      <c r="Y384" s="64"/>
      <c r="Z384" s="81" t="s">
        <v>251</v>
      </c>
      <c r="AA384" s="64"/>
      <c r="AC384" s="122">
        <f t="shared" si="14"/>
        <v>24</v>
      </c>
      <c r="AD384" t="s">
        <v>392</v>
      </c>
    </row>
    <row r="385" spans="1:29" x14ac:dyDescent="0.3">
      <c r="AC385" s="122"/>
    </row>
    <row r="386" spans="1:29" x14ac:dyDescent="0.3">
      <c r="A386" s="116" t="s">
        <v>314</v>
      </c>
      <c r="B386" s="116"/>
      <c r="C386" s="116"/>
      <c r="D386" s="116"/>
      <c r="E386" s="116"/>
    </row>
    <row r="387" spans="1:29" x14ac:dyDescent="0.3">
      <c r="A387" s="116" t="s">
        <v>403</v>
      </c>
      <c r="B387" s="116" t="s">
        <v>379</v>
      </c>
      <c r="F387" s="116">
        <v>145</v>
      </c>
      <c r="G387" s="116" t="s">
        <v>378</v>
      </c>
      <c r="J387" s="116">
        <v>135</v>
      </c>
      <c r="K387" s="116" t="s">
        <v>379</v>
      </c>
      <c r="N387" s="116">
        <v>130</v>
      </c>
      <c r="O387" s="116" t="s">
        <v>379</v>
      </c>
      <c r="R387" s="116">
        <v>135</v>
      </c>
      <c r="S387" s="116" t="s">
        <v>379</v>
      </c>
      <c r="U387" s="122" t="s">
        <v>91</v>
      </c>
    </row>
    <row r="388" spans="1:29" x14ac:dyDescent="0.3">
      <c r="A388" s="64">
        <v>11</v>
      </c>
      <c r="B388" s="64" t="s">
        <v>262</v>
      </c>
      <c r="C388" s="64">
        <f>6*3.5</f>
        <v>21</v>
      </c>
      <c r="E388" s="64">
        <v>11</v>
      </c>
      <c r="F388" s="64" t="s">
        <v>262</v>
      </c>
      <c r="G388" s="64">
        <f>6*4</f>
        <v>24</v>
      </c>
      <c r="I388" s="64">
        <v>6</v>
      </c>
      <c r="J388" s="64" t="s">
        <v>262</v>
      </c>
      <c r="K388" s="64">
        <f>11*3.5</f>
        <v>38.5</v>
      </c>
      <c r="M388" s="64">
        <v>6</v>
      </c>
      <c r="N388" s="64" t="s">
        <v>262</v>
      </c>
      <c r="O388" s="64">
        <f>11*3.5</f>
        <v>38.5</v>
      </c>
      <c r="Q388" s="64">
        <v>14</v>
      </c>
      <c r="R388" s="64" t="s">
        <v>262</v>
      </c>
      <c r="S388" s="64">
        <f>3*3.5</f>
        <v>10.5</v>
      </c>
      <c r="U388" s="122">
        <f>S388+O388+K388+G388+C388</f>
        <v>132.5</v>
      </c>
    </row>
    <row r="390" spans="1:29" x14ac:dyDescent="0.3">
      <c r="A390" s="116" t="s">
        <v>314</v>
      </c>
    </row>
    <row r="391" spans="1:29" x14ac:dyDescent="0.3">
      <c r="A391" s="116" t="s">
        <v>403</v>
      </c>
      <c r="B391" s="116" t="s">
        <v>379</v>
      </c>
      <c r="F391" s="116">
        <v>145</v>
      </c>
      <c r="G391" s="116" t="s">
        <v>378</v>
      </c>
      <c r="J391" s="116">
        <v>135</v>
      </c>
      <c r="K391" s="116" t="s">
        <v>379</v>
      </c>
      <c r="N391" s="116">
        <v>135</v>
      </c>
      <c r="O391" s="116" t="s">
        <v>379</v>
      </c>
      <c r="Q391" s="122" t="s">
        <v>91</v>
      </c>
    </row>
    <row r="392" spans="1:29" x14ac:dyDescent="0.3">
      <c r="A392" s="64">
        <v>2</v>
      </c>
      <c r="B392" s="64" t="s">
        <v>262</v>
      </c>
      <c r="C392" s="64">
        <f>17*3.5</f>
        <v>59.5</v>
      </c>
      <c r="E392" s="64">
        <v>13</v>
      </c>
      <c r="F392" s="64" t="s">
        <v>262</v>
      </c>
      <c r="G392" s="64">
        <f>4*4</f>
        <v>16</v>
      </c>
      <c r="I392" s="64">
        <v>10</v>
      </c>
      <c r="J392" s="64" t="s">
        <v>262</v>
      </c>
      <c r="K392" s="64">
        <f>7*3.5</f>
        <v>24.5</v>
      </c>
      <c r="M392" s="64">
        <v>1</v>
      </c>
      <c r="N392" s="64" t="s">
        <v>262</v>
      </c>
      <c r="O392" s="64">
        <f>20*3.5</f>
        <v>70</v>
      </c>
      <c r="Q392" s="122">
        <f>O392+K392+G392+C392</f>
        <v>170</v>
      </c>
    </row>
    <row r="394" spans="1:29" x14ac:dyDescent="0.3">
      <c r="A394" s="116" t="s">
        <v>318</v>
      </c>
    </row>
    <row r="395" spans="1:29" x14ac:dyDescent="0.3">
      <c r="A395" s="116">
        <v>140</v>
      </c>
      <c r="B395" s="116" t="s">
        <v>379</v>
      </c>
      <c r="F395" s="116">
        <v>145</v>
      </c>
      <c r="G395" s="116" t="s">
        <v>378</v>
      </c>
      <c r="J395" s="116">
        <v>145</v>
      </c>
      <c r="K395" s="116" t="s">
        <v>378</v>
      </c>
      <c r="N395" s="116" t="s">
        <v>403</v>
      </c>
      <c r="O395" s="116" t="s">
        <v>379</v>
      </c>
      <c r="R395" s="116" t="s">
        <v>403</v>
      </c>
      <c r="S395" s="116" t="s">
        <v>379</v>
      </c>
      <c r="V395" s="116" t="s">
        <v>384</v>
      </c>
      <c r="W395" s="116" t="s">
        <v>379</v>
      </c>
      <c r="Y395" s="122" t="s">
        <v>91</v>
      </c>
    </row>
    <row r="396" spans="1:29" x14ac:dyDescent="0.3">
      <c r="A396" s="64">
        <v>6</v>
      </c>
      <c r="B396" s="64" t="s">
        <v>262</v>
      </c>
      <c r="C396" s="64">
        <f>11*3.5</f>
        <v>38.5</v>
      </c>
      <c r="E396" s="64">
        <v>12</v>
      </c>
      <c r="F396" s="64" t="s">
        <v>262</v>
      </c>
      <c r="G396" s="64">
        <f>5*4</f>
        <v>20</v>
      </c>
      <c r="I396" s="64">
        <v>16</v>
      </c>
      <c r="J396" s="64" t="s">
        <v>262</v>
      </c>
      <c r="K396" s="64">
        <f>1*4</f>
        <v>4</v>
      </c>
      <c r="M396" s="64">
        <v>6</v>
      </c>
      <c r="N396" s="64" t="s">
        <v>262</v>
      </c>
      <c r="O396" s="64">
        <f>11*3.5</f>
        <v>38.5</v>
      </c>
      <c r="Q396" s="64">
        <v>8</v>
      </c>
      <c r="R396" s="64" t="s">
        <v>262</v>
      </c>
      <c r="S396" s="64">
        <f>9*3.5</f>
        <v>31.5</v>
      </c>
      <c r="U396" s="64">
        <v>16</v>
      </c>
      <c r="V396" s="64" t="s">
        <v>262</v>
      </c>
      <c r="W396" s="64">
        <f>1*3.5</f>
        <v>3.5</v>
      </c>
      <c r="Y396" s="122">
        <f>W396+S396+O396+K396+G396+C396</f>
        <v>136</v>
      </c>
    </row>
    <row r="398" spans="1:29" x14ac:dyDescent="0.3">
      <c r="A398" s="116" t="s">
        <v>320</v>
      </c>
    </row>
    <row r="399" spans="1:29" x14ac:dyDescent="0.3">
      <c r="A399" s="116">
        <v>130</v>
      </c>
      <c r="B399" s="116" t="s">
        <v>379</v>
      </c>
      <c r="F399" s="116">
        <v>140</v>
      </c>
      <c r="G399" s="116" t="s">
        <v>379</v>
      </c>
      <c r="J399" s="116">
        <v>140</v>
      </c>
      <c r="K399" s="116" t="s">
        <v>379</v>
      </c>
      <c r="M399" s="122" t="s">
        <v>91</v>
      </c>
    </row>
    <row r="400" spans="1:29" x14ac:dyDescent="0.3">
      <c r="A400" s="205">
        <v>11</v>
      </c>
      <c r="B400" s="64" t="s">
        <v>322</v>
      </c>
      <c r="C400" s="64">
        <f>4*3.5</f>
        <v>14</v>
      </c>
      <c r="E400" s="64">
        <v>12</v>
      </c>
      <c r="F400" s="64" t="s">
        <v>322</v>
      </c>
      <c r="G400" s="64">
        <f>5*3.5</f>
        <v>17.5</v>
      </c>
      <c r="I400" s="64">
        <v>15</v>
      </c>
      <c r="J400" s="64" t="s">
        <v>322</v>
      </c>
      <c r="K400" s="64">
        <f>2*3.5</f>
        <v>7</v>
      </c>
      <c r="M400" s="122">
        <f>K400+G400+C400</f>
        <v>38.5</v>
      </c>
    </row>
    <row r="402" spans="1:26" x14ac:dyDescent="0.3">
      <c r="A402" s="116" t="s">
        <v>323</v>
      </c>
    </row>
    <row r="403" spans="1:26" x14ac:dyDescent="0.3">
      <c r="A403" s="116">
        <v>130</v>
      </c>
      <c r="B403" s="116" t="s">
        <v>379</v>
      </c>
      <c r="F403" s="116">
        <v>140</v>
      </c>
      <c r="G403" s="116" t="s">
        <v>379</v>
      </c>
      <c r="J403" s="116">
        <v>130</v>
      </c>
      <c r="K403" s="116" t="s">
        <v>379</v>
      </c>
      <c r="N403" s="116">
        <v>140</v>
      </c>
      <c r="O403" s="116" t="s">
        <v>379</v>
      </c>
      <c r="R403" s="116">
        <v>135</v>
      </c>
      <c r="S403" s="116" t="s">
        <v>379</v>
      </c>
      <c r="V403" s="116" t="s">
        <v>406</v>
      </c>
      <c r="W403" s="116" t="s">
        <v>382</v>
      </c>
      <c r="Y403" s="122" t="s">
        <v>91</v>
      </c>
    </row>
    <row r="404" spans="1:26" x14ac:dyDescent="0.3">
      <c r="M404" s="64">
        <v>10</v>
      </c>
      <c r="N404" s="64" t="s">
        <v>253</v>
      </c>
      <c r="O404" s="64">
        <f>7*3.5</f>
        <v>24.5</v>
      </c>
      <c r="Q404" s="64">
        <v>9</v>
      </c>
      <c r="R404" s="64" t="s">
        <v>253</v>
      </c>
      <c r="S404" s="64">
        <f>8*3.5</f>
        <v>28</v>
      </c>
      <c r="U404" s="64"/>
      <c r="V404" s="64" t="s">
        <v>253</v>
      </c>
      <c r="W404" s="64"/>
      <c r="Y404" s="122">
        <f t="shared" ref="Y404:Y410" si="15">W404+S404+O404+K404+G404+C404</f>
        <v>52.5</v>
      </c>
      <c r="Z404" t="s">
        <v>392</v>
      </c>
    </row>
    <row r="405" spans="1:26" x14ac:dyDescent="0.3">
      <c r="A405" s="205">
        <v>1</v>
      </c>
      <c r="B405" s="64" t="s">
        <v>262</v>
      </c>
      <c r="C405" s="64">
        <f>20*3.5</f>
        <v>70</v>
      </c>
      <c r="E405" s="64">
        <v>12</v>
      </c>
      <c r="F405" s="64" t="s">
        <v>262</v>
      </c>
      <c r="G405" s="64">
        <f>5*3.5</f>
        <v>17.5</v>
      </c>
      <c r="I405" s="64">
        <v>16</v>
      </c>
      <c r="J405" s="64" t="s">
        <v>262</v>
      </c>
      <c r="K405" s="64">
        <f>1*3.5</f>
        <v>3.5</v>
      </c>
      <c r="M405" s="64">
        <v>8</v>
      </c>
      <c r="N405" s="64" t="s">
        <v>262</v>
      </c>
      <c r="O405" s="64">
        <f>9*3.5</f>
        <v>31.5</v>
      </c>
      <c r="U405" s="64">
        <v>7</v>
      </c>
      <c r="V405" s="64" t="s">
        <v>262</v>
      </c>
      <c r="W405" s="64">
        <f>10*4.5</f>
        <v>45</v>
      </c>
      <c r="Y405" s="122">
        <f t="shared" si="15"/>
        <v>167.5</v>
      </c>
      <c r="Z405" t="s">
        <v>392</v>
      </c>
    </row>
    <row r="406" spans="1:26" x14ac:dyDescent="0.3">
      <c r="I406" s="64">
        <v>2</v>
      </c>
      <c r="J406" s="64" t="s">
        <v>252</v>
      </c>
      <c r="K406" s="64">
        <f>17*3.5</f>
        <v>59.5</v>
      </c>
      <c r="Q406" s="64">
        <v>14</v>
      </c>
      <c r="R406" s="64" t="s">
        <v>252</v>
      </c>
      <c r="S406" s="64">
        <f>3*3.5</f>
        <v>10.5</v>
      </c>
      <c r="U406" s="64"/>
      <c r="V406" s="64" t="s">
        <v>252</v>
      </c>
      <c r="W406" s="64"/>
      <c r="Y406" s="122">
        <f t="shared" si="15"/>
        <v>70</v>
      </c>
      <c r="Z406" t="s">
        <v>392</v>
      </c>
    </row>
    <row r="407" spans="1:26" x14ac:dyDescent="0.3">
      <c r="I407" s="64">
        <v>8</v>
      </c>
      <c r="J407" s="64" t="s">
        <v>394</v>
      </c>
      <c r="K407" s="64">
        <f>9*3.5</f>
        <v>31.5</v>
      </c>
      <c r="Q407" s="64">
        <v>4</v>
      </c>
      <c r="R407" s="64" t="s">
        <v>394</v>
      </c>
      <c r="S407" s="64">
        <f>13*3.5</f>
        <v>45.5</v>
      </c>
      <c r="U407" s="64"/>
      <c r="V407" s="64" t="s">
        <v>394</v>
      </c>
      <c r="W407" s="64"/>
      <c r="Y407" s="122">
        <f t="shared" si="15"/>
        <v>77</v>
      </c>
      <c r="Z407" t="s">
        <v>392</v>
      </c>
    </row>
    <row r="408" spans="1:26" x14ac:dyDescent="0.3">
      <c r="A408" s="205">
        <v>7</v>
      </c>
      <c r="B408" s="81" t="s">
        <v>401</v>
      </c>
      <c r="C408" s="64">
        <f>10*3.5</f>
        <v>35</v>
      </c>
      <c r="E408" s="64">
        <v>3</v>
      </c>
      <c r="F408" s="81" t="s">
        <v>401</v>
      </c>
      <c r="G408" s="64">
        <f>15*3.5</f>
        <v>52.5</v>
      </c>
      <c r="I408" s="64">
        <v>14</v>
      </c>
      <c r="J408" s="81" t="s">
        <v>401</v>
      </c>
      <c r="K408" s="64">
        <f>3*3.5</f>
        <v>10.5</v>
      </c>
      <c r="M408" s="64">
        <v>14</v>
      </c>
      <c r="N408" s="81" t="s">
        <v>401</v>
      </c>
      <c r="O408" s="64">
        <f>3*3.5</f>
        <v>10.5</v>
      </c>
      <c r="U408" s="64"/>
      <c r="V408" s="81" t="s">
        <v>401</v>
      </c>
      <c r="W408" s="64"/>
      <c r="Y408" s="122">
        <f t="shared" si="15"/>
        <v>108.5</v>
      </c>
      <c r="Z408" t="s">
        <v>392</v>
      </c>
    </row>
    <row r="409" spans="1:26" x14ac:dyDescent="0.3">
      <c r="E409" s="64">
        <v>16</v>
      </c>
      <c r="F409" s="64" t="s">
        <v>405</v>
      </c>
      <c r="G409" s="64">
        <f>1*3.5</f>
        <v>3.5</v>
      </c>
      <c r="I409" s="64">
        <v>12</v>
      </c>
      <c r="J409" s="64" t="s">
        <v>405</v>
      </c>
      <c r="K409" s="64">
        <f>5*3.5</f>
        <v>17.5</v>
      </c>
      <c r="M409" s="64">
        <v>4</v>
      </c>
      <c r="N409" s="64" t="s">
        <v>405</v>
      </c>
      <c r="O409" s="64">
        <f>13*3.5</f>
        <v>45.5</v>
      </c>
      <c r="U409" s="64"/>
      <c r="V409" s="64" t="s">
        <v>405</v>
      </c>
      <c r="W409" s="64"/>
      <c r="Y409" s="122">
        <f t="shared" si="15"/>
        <v>66.5</v>
      </c>
      <c r="Z409" t="s">
        <v>392</v>
      </c>
    </row>
    <row r="410" spans="1:26" x14ac:dyDescent="0.3">
      <c r="A410" s="205">
        <v>9</v>
      </c>
      <c r="B410" s="81" t="s">
        <v>404</v>
      </c>
      <c r="C410" s="64">
        <f>8*3.5</f>
        <v>28</v>
      </c>
      <c r="U410" s="64"/>
      <c r="V410" s="81" t="s">
        <v>404</v>
      </c>
      <c r="W410" s="64"/>
      <c r="Y410" s="122">
        <f t="shared" si="15"/>
        <v>28</v>
      </c>
    </row>
    <row r="412" spans="1:26" x14ac:dyDescent="0.3">
      <c r="A412" s="116" t="s">
        <v>326</v>
      </c>
      <c r="B412" s="116"/>
      <c r="C412" s="116"/>
      <c r="O412" s="116"/>
      <c r="P412" s="116"/>
    </row>
    <row r="413" spans="1:26" x14ac:dyDescent="0.3">
      <c r="A413" s="116">
        <v>140</v>
      </c>
      <c r="B413" s="116" t="s">
        <v>379</v>
      </c>
      <c r="F413" s="116">
        <v>145</v>
      </c>
      <c r="G413" s="116" t="s">
        <v>378</v>
      </c>
      <c r="J413" s="116">
        <v>130</v>
      </c>
      <c r="K413" s="116" t="s">
        <v>379</v>
      </c>
      <c r="N413" s="116" t="s">
        <v>403</v>
      </c>
      <c r="O413" s="116" t="s">
        <v>379</v>
      </c>
      <c r="Q413" s="122" t="s">
        <v>91</v>
      </c>
    </row>
    <row r="414" spans="1:26" x14ac:dyDescent="0.3">
      <c r="A414" s="64">
        <v>13</v>
      </c>
      <c r="B414" s="64" t="s">
        <v>327</v>
      </c>
      <c r="C414" s="64">
        <f>4*3.5</f>
        <v>14</v>
      </c>
      <c r="E414" s="64">
        <v>3</v>
      </c>
      <c r="F414" s="64" t="s">
        <v>327</v>
      </c>
      <c r="G414" s="64">
        <f>15*3.5</f>
        <v>52.5</v>
      </c>
      <c r="I414" s="64">
        <v>9</v>
      </c>
      <c r="J414" s="64" t="s">
        <v>327</v>
      </c>
      <c r="K414" s="64">
        <f>8*3.5</f>
        <v>28</v>
      </c>
      <c r="M414" s="64">
        <v>7</v>
      </c>
      <c r="N414" s="64" t="s">
        <v>327</v>
      </c>
      <c r="O414" s="64">
        <f>10*3.5</f>
        <v>35</v>
      </c>
      <c r="Q414" s="122">
        <f>C414+G414+K414+O414</f>
        <v>129.5</v>
      </c>
    </row>
    <row r="416" spans="1:26" x14ac:dyDescent="0.3">
      <c r="A416" s="116" t="s">
        <v>328</v>
      </c>
      <c r="B416" s="116"/>
      <c r="C416" s="116"/>
      <c r="D416" s="116"/>
      <c r="E416" s="116"/>
    </row>
    <row r="417" spans="1:30" x14ac:dyDescent="0.3">
      <c r="A417" s="116">
        <v>140</v>
      </c>
      <c r="B417" s="116" t="s">
        <v>382</v>
      </c>
      <c r="F417" s="116">
        <v>140</v>
      </c>
      <c r="G417" s="116" t="s">
        <v>382</v>
      </c>
      <c r="J417" s="116">
        <v>135</v>
      </c>
      <c r="K417" s="116" t="s">
        <v>382</v>
      </c>
      <c r="N417" s="116">
        <v>150</v>
      </c>
      <c r="O417" s="116" t="s">
        <v>381</v>
      </c>
      <c r="R417" s="116" t="s">
        <v>402</v>
      </c>
      <c r="S417" s="116" t="s">
        <v>383</v>
      </c>
      <c r="U417" s="122"/>
      <c r="V417" s="116">
        <v>145</v>
      </c>
      <c r="W417" s="116" t="s">
        <v>381</v>
      </c>
      <c r="Y417" s="122" t="s">
        <v>91</v>
      </c>
    </row>
    <row r="418" spans="1:30" x14ac:dyDescent="0.3">
      <c r="E418" s="64">
        <v>3</v>
      </c>
      <c r="F418" s="64" t="s">
        <v>262</v>
      </c>
      <c r="G418" s="64">
        <f>15*4.5</f>
        <v>67.5</v>
      </c>
      <c r="M418" s="64">
        <v>10</v>
      </c>
      <c r="N418" s="64" t="s">
        <v>262</v>
      </c>
      <c r="O418" s="64">
        <f>7*5</f>
        <v>35</v>
      </c>
      <c r="Q418" s="64">
        <v>8</v>
      </c>
      <c r="R418" s="64" t="s">
        <v>262</v>
      </c>
      <c r="S418" s="64">
        <f>9*5.5</f>
        <v>49.5</v>
      </c>
      <c r="U418" s="207">
        <v>6</v>
      </c>
      <c r="V418" s="204" t="s">
        <v>262</v>
      </c>
      <c r="W418" s="204">
        <f>11*5</f>
        <v>55</v>
      </c>
      <c r="Y418" s="122">
        <f>W418+S418+O418+K418+G418+C418</f>
        <v>207</v>
      </c>
    </row>
    <row r="419" spans="1:30" ht="15" customHeight="1" x14ac:dyDescent="0.3">
      <c r="A419" s="205">
        <v>2</v>
      </c>
      <c r="B419" s="205" t="s">
        <v>249</v>
      </c>
      <c r="C419" s="64">
        <f>17*4.5</f>
        <v>76.5</v>
      </c>
      <c r="I419" s="205">
        <v>4</v>
      </c>
      <c r="J419" s="205" t="s">
        <v>249</v>
      </c>
      <c r="K419" s="64">
        <f>13*4.5</f>
        <v>58.5</v>
      </c>
      <c r="U419" s="207">
        <v>6</v>
      </c>
      <c r="V419" s="204" t="s">
        <v>249</v>
      </c>
      <c r="W419" s="204">
        <f>11*5</f>
        <v>55</v>
      </c>
      <c r="Y419" s="122">
        <f>W419+S419+O419+K419+G419+C419</f>
        <v>190</v>
      </c>
    </row>
    <row r="420" spans="1:30" ht="15" customHeight="1" x14ac:dyDescent="0.3">
      <c r="A420" s="208"/>
      <c r="B420" s="208"/>
      <c r="C420" s="77"/>
      <c r="I420" s="208"/>
      <c r="J420" s="208"/>
      <c r="K420" s="77"/>
      <c r="U420" s="207">
        <v>6</v>
      </c>
      <c r="V420" s="204" t="s">
        <v>197</v>
      </c>
      <c r="W420" s="204">
        <f>11*5</f>
        <v>55</v>
      </c>
      <c r="Y420" s="122">
        <f>W420+S420+O420+K420+G420+C420</f>
        <v>55</v>
      </c>
    </row>
    <row r="421" spans="1:30" ht="15" customHeight="1" x14ac:dyDescent="0.3">
      <c r="A421" s="208"/>
      <c r="B421" s="208"/>
      <c r="C421" s="77"/>
      <c r="I421" s="208"/>
      <c r="J421" s="208"/>
      <c r="K421" s="77"/>
      <c r="U421" s="207">
        <v>6</v>
      </c>
      <c r="V421" s="204" t="s">
        <v>287</v>
      </c>
      <c r="W421" s="204">
        <f>11*5</f>
        <v>55</v>
      </c>
      <c r="Y421" s="122">
        <f>W421+S421+O421+K421+G421+C421</f>
        <v>55</v>
      </c>
    </row>
    <row r="422" spans="1:30" ht="15" customHeight="1" x14ac:dyDescent="0.3">
      <c r="A422" s="208"/>
      <c r="B422" s="208"/>
      <c r="C422" s="77"/>
      <c r="I422" s="208"/>
      <c r="J422" s="208"/>
      <c r="K422" s="77"/>
      <c r="U422" s="122"/>
    </row>
    <row r="424" spans="1:30" x14ac:dyDescent="0.3">
      <c r="A424" s="116" t="s">
        <v>330</v>
      </c>
    </row>
    <row r="425" spans="1:30" x14ac:dyDescent="0.3">
      <c r="A425" s="116">
        <v>135</v>
      </c>
      <c r="B425" s="116" t="s">
        <v>379</v>
      </c>
      <c r="F425" s="116">
        <v>130</v>
      </c>
      <c r="G425" s="116" t="s">
        <v>379</v>
      </c>
      <c r="J425" s="116">
        <v>140</v>
      </c>
      <c r="K425" s="116" t="s">
        <v>379</v>
      </c>
      <c r="N425" s="116">
        <v>135</v>
      </c>
      <c r="O425" s="116" t="s">
        <v>379</v>
      </c>
      <c r="R425" s="116">
        <v>145</v>
      </c>
      <c r="S425" s="116" t="s">
        <v>378</v>
      </c>
      <c r="V425" s="116">
        <v>135</v>
      </c>
      <c r="W425" s="116" t="s">
        <v>379</v>
      </c>
      <c r="Z425" s="116">
        <v>145</v>
      </c>
      <c r="AA425" s="116" t="s">
        <v>378</v>
      </c>
      <c r="AC425" s="122" t="s">
        <v>91</v>
      </c>
    </row>
    <row r="426" spans="1:30" x14ac:dyDescent="0.3">
      <c r="I426" s="64">
        <v>9</v>
      </c>
      <c r="J426" s="64" t="s">
        <v>252</v>
      </c>
      <c r="K426" s="64">
        <f>8*3.5</f>
        <v>28</v>
      </c>
      <c r="U426" s="64">
        <v>6</v>
      </c>
      <c r="V426" s="64" t="s">
        <v>252</v>
      </c>
      <c r="W426" s="64">
        <f>11*3.5</f>
        <v>38.5</v>
      </c>
      <c r="Y426" s="64"/>
      <c r="Z426" s="64" t="s">
        <v>252</v>
      </c>
      <c r="AA426" s="64"/>
      <c r="AC426" s="122">
        <f>AA426+W426+S426+O426+K426+G426+C426</f>
        <v>66.5</v>
      </c>
      <c r="AD426" t="s">
        <v>392</v>
      </c>
    </row>
    <row r="427" spans="1:30" x14ac:dyDescent="0.3">
      <c r="A427" s="64">
        <v>4</v>
      </c>
      <c r="B427" s="64" t="s">
        <v>251</v>
      </c>
      <c r="C427" s="64">
        <f>13*3.5</f>
        <v>45.5</v>
      </c>
      <c r="I427" s="64">
        <v>15</v>
      </c>
      <c r="J427" s="64" t="s">
        <v>251</v>
      </c>
      <c r="K427" s="64">
        <f>2*3.5</f>
        <v>7</v>
      </c>
      <c r="M427" s="64">
        <v>8</v>
      </c>
      <c r="N427" s="64" t="s">
        <v>251</v>
      </c>
      <c r="O427" s="64">
        <f>9*3.5</f>
        <v>31.5</v>
      </c>
      <c r="Q427" s="64">
        <v>4</v>
      </c>
      <c r="R427" s="64" t="s">
        <v>251</v>
      </c>
      <c r="S427" s="64">
        <f>13*4</f>
        <v>52</v>
      </c>
      <c r="Y427" s="64">
        <v>14</v>
      </c>
      <c r="Z427" s="64" t="s">
        <v>251</v>
      </c>
      <c r="AA427" s="64">
        <f>3*4</f>
        <v>12</v>
      </c>
      <c r="AC427" s="122">
        <f>AA427+W427+S427+O427+K427+G427+C427</f>
        <v>148</v>
      </c>
      <c r="AD427" t="s">
        <v>392</v>
      </c>
    </row>
    <row r="428" spans="1:30" x14ac:dyDescent="0.3">
      <c r="E428" s="64">
        <v>1</v>
      </c>
      <c r="F428" s="64" t="s">
        <v>250</v>
      </c>
      <c r="G428" s="64">
        <f>20*3.5</f>
        <v>70</v>
      </c>
      <c r="I428" s="64">
        <v>1</v>
      </c>
      <c r="J428" s="64" t="s">
        <v>250</v>
      </c>
      <c r="K428" s="64">
        <f>20*3.5</f>
        <v>70</v>
      </c>
      <c r="M428" s="64">
        <v>11</v>
      </c>
      <c r="N428" s="64" t="s">
        <v>250</v>
      </c>
      <c r="O428" s="64">
        <f>6*3.5</f>
        <v>21</v>
      </c>
      <c r="Q428" s="64">
        <v>2</v>
      </c>
      <c r="R428" s="64" t="s">
        <v>250</v>
      </c>
      <c r="S428" s="64">
        <f>17*4</f>
        <v>68</v>
      </c>
      <c r="U428" s="64">
        <v>4</v>
      </c>
      <c r="V428" s="64" t="s">
        <v>250</v>
      </c>
      <c r="W428" s="64">
        <f>13*3.5</f>
        <v>45.5</v>
      </c>
      <c r="Y428" s="64">
        <v>9</v>
      </c>
      <c r="Z428" s="64" t="s">
        <v>250</v>
      </c>
      <c r="AA428" s="64">
        <f>8*4</f>
        <v>32</v>
      </c>
      <c r="AC428" s="122">
        <f>AA428+W428+S428+O428+K428+G428+C428</f>
        <v>306.5</v>
      </c>
      <c r="AD428" t="s">
        <v>392</v>
      </c>
    </row>
    <row r="429" spans="1:30" x14ac:dyDescent="0.3">
      <c r="A429" s="64">
        <v>16</v>
      </c>
      <c r="B429" s="64" t="s">
        <v>401</v>
      </c>
      <c r="C429" s="64">
        <f>1*3.5</f>
        <v>3.5</v>
      </c>
      <c r="Q429" s="64">
        <v>13</v>
      </c>
      <c r="R429" s="64" t="s">
        <v>401</v>
      </c>
      <c r="S429" s="64">
        <f>4*4</f>
        <v>16</v>
      </c>
      <c r="Y429" s="64"/>
      <c r="Z429" s="64" t="s">
        <v>401</v>
      </c>
      <c r="AA429" s="64"/>
      <c r="AC429" s="122">
        <f>AA429+W429+S429+O429+K429+G429+C429</f>
        <v>19.5</v>
      </c>
      <c r="AD429" t="s">
        <v>392</v>
      </c>
    </row>
    <row r="430" spans="1:30" x14ac:dyDescent="0.3">
      <c r="AC430" s="122"/>
    </row>
    <row r="431" spans="1:30" x14ac:dyDescent="0.3">
      <c r="A431" s="116" t="s">
        <v>331</v>
      </c>
      <c r="B431" s="116"/>
      <c r="C431" s="116"/>
      <c r="D431" s="116"/>
      <c r="E431" s="116"/>
    </row>
    <row r="432" spans="1:30" x14ac:dyDescent="0.3">
      <c r="A432" s="116">
        <v>130</v>
      </c>
      <c r="B432" s="116" t="s">
        <v>379</v>
      </c>
    </row>
    <row r="433" spans="1:33" x14ac:dyDescent="0.3">
      <c r="A433" s="64">
        <v>13</v>
      </c>
      <c r="B433" s="64" t="s">
        <v>333</v>
      </c>
      <c r="C433" s="64">
        <f>4*3.5</f>
        <v>14</v>
      </c>
    </row>
    <row r="435" spans="1:33" x14ac:dyDescent="0.3">
      <c r="A435" s="116" t="s">
        <v>335</v>
      </c>
      <c r="B435" s="116"/>
      <c r="C435" s="116"/>
      <c r="D435" s="116"/>
      <c r="E435" s="116"/>
    </row>
    <row r="436" spans="1:33" x14ac:dyDescent="0.3">
      <c r="A436" s="116" t="s">
        <v>400</v>
      </c>
      <c r="B436" s="116" t="s">
        <v>379</v>
      </c>
      <c r="F436" s="116" t="s">
        <v>399</v>
      </c>
      <c r="G436" s="116" t="s">
        <v>379</v>
      </c>
      <c r="J436" s="116" t="s">
        <v>390</v>
      </c>
      <c r="K436" s="116" t="s">
        <v>383</v>
      </c>
      <c r="N436" s="116" t="s">
        <v>388</v>
      </c>
      <c r="O436" s="116" t="s">
        <v>387</v>
      </c>
      <c r="R436" s="116" t="s">
        <v>388</v>
      </c>
      <c r="S436" s="116" t="s">
        <v>387</v>
      </c>
      <c r="V436" s="116" t="s">
        <v>398</v>
      </c>
      <c r="W436" s="116" t="s">
        <v>385</v>
      </c>
      <c r="Y436" s="122" t="s">
        <v>91</v>
      </c>
    </row>
    <row r="437" spans="1:33" x14ac:dyDescent="0.3">
      <c r="I437" s="64">
        <v>2</v>
      </c>
      <c r="J437" s="64" t="s">
        <v>262</v>
      </c>
      <c r="K437" s="64">
        <f>17*5.5</f>
        <v>93.5</v>
      </c>
      <c r="M437" s="64">
        <v>1</v>
      </c>
      <c r="N437" s="64" t="s">
        <v>262</v>
      </c>
      <c r="O437" s="64">
        <f>20*6</f>
        <v>120</v>
      </c>
      <c r="Q437" s="64">
        <v>2</v>
      </c>
      <c r="R437" s="64" t="s">
        <v>262</v>
      </c>
      <c r="S437" s="64">
        <f>17*6</f>
        <v>102</v>
      </c>
      <c r="U437" s="64">
        <v>10</v>
      </c>
      <c r="V437" s="64" t="s">
        <v>262</v>
      </c>
      <c r="W437" s="64">
        <f>7*6.5</f>
        <v>45.5</v>
      </c>
      <c r="Y437" s="122">
        <f>W437+S437+O437+K437+G437+C437</f>
        <v>361</v>
      </c>
    </row>
    <row r="438" spans="1:33" x14ac:dyDescent="0.3">
      <c r="A438" s="204">
        <v>1</v>
      </c>
      <c r="B438" s="205" t="s">
        <v>249</v>
      </c>
      <c r="C438" s="204">
        <f>20*3.5</f>
        <v>70</v>
      </c>
      <c r="E438" s="64">
        <v>2</v>
      </c>
      <c r="F438" s="64" t="s">
        <v>249</v>
      </c>
      <c r="G438" s="64">
        <f>17*3.5</f>
        <v>59.5</v>
      </c>
      <c r="Y438" s="122">
        <f>W438+S438+O438+K438+G438+C438</f>
        <v>129.5</v>
      </c>
    </row>
    <row r="440" spans="1:33" x14ac:dyDescent="0.3">
      <c r="A440" s="116" t="s">
        <v>336</v>
      </c>
      <c r="B440" s="116"/>
      <c r="C440" s="116"/>
      <c r="D440" s="116"/>
      <c r="E440" s="116"/>
    </row>
    <row r="441" spans="1:33" x14ac:dyDescent="0.3">
      <c r="A441" s="116">
        <v>130</v>
      </c>
      <c r="B441" s="116" t="s">
        <v>382</v>
      </c>
      <c r="F441" s="116">
        <v>140</v>
      </c>
      <c r="G441" s="116" t="s">
        <v>382</v>
      </c>
      <c r="J441" s="116">
        <v>135</v>
      </c>
      <c r="K441" s="116" t="s">
        <v>382</v>
      </c>
      <c r="M441" s="122"/>
      <c r="N441" s="116">
        <v>140</v>
      </c>
      <c r="O441" s="116" t="s">
        <v>381</v>
      </c>
      <c r="Q441" s="122" t="s">
        <v>91</v>
      </c>
    </row>
    <row r="442" spans="1:33" x14ac:dyDescent="0.3">
      <c r="A442" s="64">
        <v>2</v>
      </c>
      <c r="B442" s="205" t="s">
        <v>249</v>
      </c>
      <c r="C442" s="64">
        <f>17*4.5</f>
        <v>76.5</v>
      </c>
      <c r="I442" s="64">
        <v>3</v>
      </c>
      <c r="J442" s="205" t="s">
        <v>249</v>
      </c>
      <c r="K442" s="64">
        <f>15*4.5</f>
        <v>67.5</v>
      </c>
      <c r="M442" s="207">
        <v>8</v>
      </c>
      <c r="N442" s="204" t="s">
        <v>249</v>
      </c>
      <c r="O442" s="204">
        <f>9*5</f>
        <v>45</v>
      </c>
      <c r="Q442" s="122">
        <f>O442+K442+G442+C442</f>
        <v>189</v>
      </c>
    </row>
    <row r="443" spans="1:33" x14ac:dyDescent="0.3">
      <c r="E443" s="64">
        <v>3</v>
      </c>
      <c r="F443" s="64" t="s">
        <v>262</v>
      </c>
      <c r="G443" s="64">
        <f>15*4.5</f>
        <v>67.5</v>
      </c>
      <c r="M443" s="207">
        <v>8</v>
      </c>
      <c r="N443" s="204" t="s">
        <v>262</v>
      </c>
      <c r="O443" s="204">
        <f>9*5</f>
        <v>45</v>
      </c>
      <c r="Q443" s="122">
        <f>O443+K443+G443+C443</f>
        <v>112.5</v>
      </c>
    </row>
    <row r="444" spans="1:33" x14ac:dyDescent="0.3">
      <c r="E444" s="77"/>
      <c r="F444" s="77"/>
      <c r="G444" s="77"/>
      <c r="M444" s="207">
        <v>8</v>
      </c>
      <c r="N444" s="204" t="s">
        <v>333</v>
      </c>
      <c r="O444" s="204">
        <f>9*5</f>
        <v>45</v>
      </c>
      <c r="Q444" s="122">
        <f>O444+K444+G444+C444</f>
        <v>45</v>
      </c>
    </row>
    <row r="445" spans="1:33" x14ac:dyDescent="0.3">
      <c r="E445" s="77"/>
      <c r="F445" s="77"/>
      <c r="G445" s="77"/>
      <c r="M445" s="207">
        <v>8</v>
      </c>
      <c r="N445" s="204" t="s">
        <v>197</v>
      </c>
      <c r="O445" s="204">
        <f>9*5</f>
        <v>45</v>
      </c>
      <c r="Q445" s="122">
        <f>O445+K445+G445+C445</f>
        <v>45</v>
      </c>
    </row>
    <row r="446" spans="1:33" x14ac:dyDescent="0.3">
      <c r="E446" s="77"/>
      <c r="F446" s="77"/>
      <c r="G446" s="77"/>
      <c r="M446" s="122"/>
    </row>
    <row r="447" spans="1:33" x14ac:dyDescent="0.3">
      <c r="A447" s="116" t="s">
        <v>338</v>
      </c>
    </row>
    <row r="448" spans="1:33" x14ac:dyDescent="0.3">
      <c r="A448" s="116">
        <v>130</v>
      </c>
      <c r="B448" s="116" t="s">
        <v>379</v>
      </c>
      <c r="F448" s="116">
        <v>140</v>
      </c>
      <c r="G448" s="116" t="s">
        <v>379</v>
      </c>
      <c r="J448" s="116">
        <v>135</v>
      </c>
      <c r="K448" s="116" t="s">
        <v>379</v>
      </c>
      <c r="N448" s="116">
        <v>145</v>
      </c>
      <c r="O448" s="116" t="s">
        <v>378</v>
      </c>
      <c r="R448" s="116">
        <v>130</v>
      </c>
      <c r="S448" s="116" t="s">
        <v>379</v>
      </c>
      <c r="V448" s="116">
        <v>135</v>
      </c>
      <c r="W448" s="116" t="s">
        <v>379</v>
      </c>
      <c r="Z448" s="116">
        <v>140</v>
      </c>
      <c r="AA448" s="116" t="s">
        <v>379</v>
      </c>
      <c r="AD448" s="116" t="s">
        <v>397</v>
      </c>
      <c r="AE448" s="116" t="s">
        <v>382</v>
      </c>
      <c r="AG448" s="122" t="s">
        <v>91</v>
      </c>
    </row>
    <row r="449" spans="1:33" x14ac:dyDescent="0.3">
      <c r="A449" s="64">
        <v>1</v>
      </c>
      <c r="B449" s="64" t="s">
        <v>262</v>
      </c>
      <c r="C449" s="64">
        <f>20*3.5</f>
        <v>70</v>
      </c>
      <c r="E449" s="64">
        <v>3</v>
      </c>
      <c r="F449" s="64" t="s">
        <v>262</v>
      </c>
      <c r="G449" s="64">
        <f>15*3.5</f>
        <v>52.5</v>
      </c>
      <c r="I449" s="64">
        <v>4</v>
      </c>
      <c r="J449" s="64" t="s">
        <v>262</v>
      </c>
      <c r="K449" s="64">
        <f>13*3.5</f>
        <v>45.5</v>
      </c>
      <c r="M449" s="64">
        <v>9</v>
      </c>
      <c r="N449" s="64" t="s">
        <v>262</v>
      </c>
      <c r="O449" s="64">
        <f>8*4</f>
        <v>32</v>
      </c>
      <c r="AG449" s="122">
        <f>AE449+AA449+W449+S449+O449+K449+G449+C449</f>
        <v>200</v>
      </c>
    </row>
    <row r="450" spans="1:33" x14ac:dyDescent="0.3">
      <c r="M450" s="64">
        <v>6</v>
      </c>
      <c r="N450" s="64" t="s">
        <v>249</v>
      </c>
      <c r="O450" s="64">
        <f>11*4</f>
        <v>44</v>
      </c>
      <c r="Q450" s="64">
        <v>12</v>
      </c>
      <c r="R450" s="64" t="s">
        <v>249</v>
      </c>
      <c r="S450" s="64">
        <f>5*3.5</f>
        <v>17.5</v>
      </c>
      <c r="U450" s="64">
        <v>13</v>
      </c>
      <c r="V450" s="64" t="s">
        <v>249</v>
      </c>
      <c r="W450" s="64">
        <f>4*3.5</f>
        <v>14</v>
      </c>
      <c r="Y450" s="64">
        <v>7</v>
      </c>
      <c r="Z450" s="64" t="s">
        <v>249</v>
      </c>
      <c r="AA450" s="64">
        <f>10*3.5</f>
        <v>35</v>
      </c>
      <c r="AG450" s="122">
        <f>AE450+AA450+W450+S450+O450+K450+G450+C450</f>
        <v>110.5</v>
      </c>
    </row>
    <row r="451" spans="1:33" x14ac:dyDescent="0.3">
      <c r="AC451" s="64">
        <v>16</v>
      </c>
      <c r="AD451" s="64" t="s">
        <v>197</v>
      </c>
      <c r="AE451" s="64">
        <f>1*4.5</f>
        <v>4.5</v>
      </c>
      <c r="AG451" s="122">
        <f>AE451+AA451+W451+S451+O451+K451+G451+C451</f>
        <v>4.5</v>
      </c>
    </row>
    <row r="452" spans="1:33" x14ac:dyDescent="0.3">
      <c r="A452" s="116" t="s">
        <v>340</v>
      </c>
      <c r="B452" s="116"/>
      <c r="C452" s="116"/>
      <c r="D452" s="116"/>
      <c r="E452" s="116"/>
    </row>
    <row r="453" spans="1:33" x14ac:dyDescent="0.3">
      <c r="A453" s="116">
        <v>130</v>
      </c>
      <c r="B453" s="116" t="s">
        <v>379</v>
      </c>
      <c r="F453" s="116">
        <v>140</v>
      </c>
      <c r="G453" s="116" t="s">
        <v>379</v>
      </c>
      <c r="J453" s="116">
        <v>130</v>
      </c>
      <c r="K453" s="116" t="s">
        <v>379</v>
      </c>
      <c r="N453" s="116">
        <v>145</v>
      </c>
      <c r="O453" s="116" t="s">
        <v>378</v>
      </c>
      <c r="R453" s="116">
        <v>130</v>
      </c>
      <c r="S453" s="116" t="s">
        <v>379</v>
      </c>
      <c r="U453" s="122" t="s">
        <v>91</v>
      </c>
    </row>
    <row r="454" spans="1:33" x14ac:dyDescent="0.3">
      <c r="A454" s="64">
        <v>3</v>
      </c>
      <c r="B454" s="64" t="s">
        <v>262</v>
      </c>
      <c r="C454" s="64">
        <f>15*3.5</f>
        <v>52.5</v>
      </c>
      <c r="E454" s="64">
        <v>10</v>
      </c>
      <c r="F454" s="64" t="s">
        <v>262</v>
      </c>
      <c r="G454" s="64">
        <f>7*3.5</f>
        <v>24.5</v>
      </c>
      <c r="I454" s="64">
        <v>5</v>
      </c>
      <c r="J454" s="64" t="s">
        <v>262</v>
      </c>
      <c r="K454" s="64">
        <f>12*3.5</f>
        <v>42</v>
      </c>
      <c r="M454" s="64">
        <v>1</v>
      </c>
      <c r="N454" s="64" t="s">
        <v>262</v>
      </c>
      <c r="O454" s="64">
        <f>20*4</f>
        <v>80</v>
      </c>
      <c r="U454" s="122">
        <f>S454+O454+K454+G454+C454</f>
        <v>199</v>
      </c>
    </row>
    <row r="455" spans="1:33" x14ac:dyDescent="0.3">
      <c r="A455" s="64">
        <v>5</v>
      </c>
      <c r="B455" s="64" t="s">
        <v>249</v>
      </c>
      <c r="C455" s="64">
        <f>12*3.5</f>
        <v>42</v>
      </c>
      <c r="I455" s="64">
        <v>7</v>
      </c>
      <c r="J455" s="64" t="s">
        <v>249</v>
      </c>
      <c r="K455" s="64">
        <f>10*3.5</f>
        <v>35</v>
      </c>
      <c r="M455" s="64">
        <v>4</v>
      </c>
      <c r="N455" s="64" t="s">
        <v>249</v>
      </c>
      <c r="O455" s="64">
        <f>13*4</f>
        <v>52</v>
      </c>
      <c r="Q455" s="64">
        <v>2</v>
      </c>
      <c r="R455" s="64" t="s">
        <v>249</v>
      </c>
      <c r="S455" s="64">
        <f>17*3.5</f>
        <v>59.5</v>
      </c>
      <c r="U455" s="122">
        <f>S455+O455+K455+G455+C455</f>
        <v>188.5</v>
      </c>
    </row>
    <row r="457" spans="1:33" x14ac:dyDescent="0.3">
      <c r="A457" s="116" t="s">
        <v>342</v>
      </c>
      <c r="B457" s="116"/>
      <c r="C457" s="116"/>
      <c r="D457" s="116"/>
      <c r="E457" s="116"/>
    </row>
    <row r="458" spans="1:33" x14ac:dyDescent="0.3">
      <c r="A458" s="116">
        <v>140</v>
      </c>
      <c r="B458" s="116" t="s">
        <v>379</v>
      </c>
    </row>
    <row r="459" spans="1:33" x14ac:dyDescent="0.3">
      <c r="A459" s="64">
        <v>9</v>
      </c>
      <c r="B459" s="64" t="s">
        <v>344</v>
      </c>
      <c r="C459" s="64">
        <f>8*3.5</f>
        <v>28</v>
      </c>
    </row>
    <row r="461" spans="1:33" x14ac:dyDescent="0.3">
      <c r="A461" s="116" t="s">
        <v>342</v>
      </c>
    </row>
    <row r="462" spans="1:33" x14ac:dyDescent="0.3">
      <c r="A462" s="116">
        <v>135</v>
      </c>
      <c r="B462" s="116" t="s">
        <v>379</v>
      </c>
    </row>
    <row r="463" spans="1:33" x14ac:dyDescent="0.3">
      <c r="A463" s="64">
        <v>13</v>
      </c>
      <c r="B463" s="64" t="s">
        <v>344</v>
      </c>
      <c r="C463" s="64">
        <f>4*3.5</f>
        <v>14</v>
      </c>
    </row>
    <row r="465" spans="1:30" x14ac:dyDescent="0.3">
      <c r="A465" s="116" t="s">
        <v>346</v>
      </c>
      <c r="B465" s="116"/>
      <c r="C465" s="116"/>
      <c r="D465" s="116"/>
      <c r="E465" s="116"/>
    </row>
    <row r="466" spans="1:30" x14ac:dyDescent="0.3">
      <c r="A466" s="116">
        <v>130</v>
      </c>
      <c r="B466" s="116" t="s">
        <v>379</v>
      </c>
      <c r="F466" s="116">
        <v>135</v>
      </c>
      <c r="G466" s="116" t="s">
        <v>379</v>
      </c>
      <c r="J466" s="116">
        <v>135</v>
      </c>
      <c r="K466" s="116" t="s">
        <v>379</v>
      </c>
      <c r="N466" s="116">
        <v>140</v>
      </c>
      <c r="O466" s="116" t="s">
        <v>379</v>
      </c>
      <c r="R466" s="116">
        <v>135</v>
      </c>
      <c r="S466" s="116" t="s">
        <v>379</v>
      </c>
      <c r="V466" s="116" t="s">
        <v>397</v>
      </c>
      <c r="W466" s="116" t="s">
        <v>382</v>
      </c>
      <c r="Y466" s="122" t="s">
        <v>91</v>
      </c>
    </row>
    <row r="467" spans="1:30" x14ac:dyDescent="0.3">
      <c r="A467" s="205">
        <v>2</v>
      </c>
      <c r="B467" s="205" t="s">
        <v>262</v>
      </c>
      <c r="C467" s="204">
        <f>17*3.5</f>
        <v>59.5</v>
      </c>
      <c r="I467" s="205">
        <v>2</v>
      </c>
      <c r="J467" s="205" t="s">
        <v>262</v>
      </c>
      <c r="K467" s="64">
        <f>17*3.5</f>
        <v>59.5</v>
      </c>
      <c r="Q467" s="205">
        <v>8</v>
      </c>
      <c r="R467" s="205" t="s">
        <v>262</v>
      </c>
      <c r="S467" s="64">
        <f>9*3.5</f>
        <v>31.5</v>
      </c>
      <c r="U467" s="64">
        <v>10</v>
      </c>
      <c r="V467" s="205" t="s">
        <v>262</v>
      </c>
      <c r="W467" s="64">
        <f>7*4.5</f>
        <v>31.5</v>
      </c>
      <c r="Y467" s="122">
        <f t="shared" ref="Y467:Y472" si="16">W467+S467+O467+K467+G467+C467</f>
        <v>182</v>
      </c>
    </row>
    <row r="468" spans="1:30" x14ac:dyDescent="0.3">
      <c r="M468" s="64">
        <v>15</v>
      </c>
      <c r="N468" s="64" t="s">
        <v>394</v>
      </c>
      <c r="O468" s="64">
        <f>2*3.5</f>
        <v>7</v>
      </c>
      <c r="U468" s="64"/>
      <c r="V468" s="64" t="s">
        <v>394</v>
      </c>
      <c r="W468" s="64"/>
      <c r="Y468" s="122">
        <f t="shared" si="16"/>
        <v>7</v>
      </c>
    </row>
    <row r="469" spans="1:30" x14ac:dyDescent="0.3">
      <c r="E469" s="64">
        <v>10</v>
      </c>
      <c r="F469" s="64" t="s">
        <v>396</v>
      </c>
      <c r="G469" s="64">
        <f>7*3.5</f>
        <v>24.5</v>
      </c>
      <c r="U469" s="64"/>
      <c r="V469" s="64" t="s">
        <v>396</v>
      </c>
      <c r="W469" s="64"/>
      <c r="Y469" s="122">
        <f t="shared" si="16"/>
        <v>24.5</v>
      </c>
    </row>
    <row r="470" spans="1:30" x14ac:dyDescent="0.3">
      <c r="E470" s="64">
        <v>15</v>
      </c>
      <c r="F470" s="64" t="s">
        <v>249</v>
      </c>
      <c r="G470" s="64">
        <f>2*3.5</f>
        <v>7</v>
      </c>
      <c r="M470" s="64">
        <v>5</v>
      </c>
      <c r="N470" s="64" t="s">
        <v>249</v>
      </c>
      <c r="O470" s="64">
        <f>12*3.5</f>
        <v>42</v>
      </c>
      <c r="U470" s="64">
        <v>7</v>
      </c>
      <c r="V470" s="64" t="s">
        <v>249</v>
      </c>
      <c r="W470" s="64">
        <f>10*4.5</f>
        <v>45</v>
      </c>
      <c r="Y470" s="122">
        <f t="shared" si="16"/>
        <v>94</v>
      </c>
    </row>
    <row r="471" spans="1:30" x14ac:dyDescent="0.3">
      <c r="E471" s="64">
        <v>5</v>
      </c>
      <c r="F471" s="64" t="s">
        <v>395</v>
      </c>
      <c r="G471" s="64">
        <f>12*3.5</f>
        <v>42</v>
      </c>
      <c r="U471" s="64"/>
      <c r="V471" s="64" t="s">
        <v>395</v>
      </c>
      <c r="W471" s="64"/>
      <c r="Y471" s="122">
        <f t="shared" si="16"/>
        <v>42</v>
      </c>
    </row>
    <row r="472" spans="1:30" x14ac:dyDescent="0.3">
      <c r="I472" s="64">
        <v>3</v>
      </c>
      <c r="J472" s="64" t="s">
        <v>259</v>
      </c>
      <c r="K472" s="64">
        <f>15*3.5</f>
        <v>52.5</v>
      </c>
      <c r="U472" s="64"/>
      <c r="V472" s="64" t="s">
        <v>259</v>
      </c>
      <c r="W472" s="64"/>
      <c r="Y472" s="122">
        <f t="shared" si="16"/>
        <v>52.5</v>
      </c>
    </row>
    <row r="473" spans="1:30" x14ac:dyDescent="0.3">
      <c r="Y473" s="122"/>
    </row>
    <row r="474" spans="1:30" x14ac:dyDescent="0.3">
      <c r="A474" s="116" t="s">
        <v>346</v>
      </c>
    </row>
    <row r="475" spans="1:30" x14ac:dyDescent="0.3">
      <c r="A475" s="116">
        <v>130</v>
      </c>
      <c r="B475" s="116" t="s">
        <v>379</v>
      </c>
      <c r="F475" s="116">
        <v>140</v>
      </c>
      <c r="G475" s="116" t="s">
        <v>379</v>
      </c>
      <c r="J475" s="116">
        <v>130</v>
      </c>
      <c r="K475" s="116" t="s">
        <v>379</v>
      </c>
      <c r="N475" s="116">
        <v>140</v>
      </c>
      <c r="O475" s="116" t="s">
        <v>379</v>
      </c>
      <c r="R475" s="116">
        <v>130</v>
      </c>
      <c r="S475" s="116" t="s">
        <v>379</v>
      </c>
      <c r="V475" s="116">
        <v>145</v>
      </c>
      <c r="W475" s="116" t="s">
        <v>378</v>
      </c>
      <c r="Z475" s="116">
        <v>135</v>
      </c>
      <c r="AA475" s="116" t="s">
        <v>379</v>
      </c>
      <c r="AC475" s="122" t="s">
        <v>91</v>
      </c>
    </row>
    <row r="476" spans="1:30" x14ac:dyDescent="0.3">
      <c r="A476" s="64">
        <v>5</v>
      </c>
      <c r="B476" s="64" t="s">
        <v>262</v>
      </c>
      <c r="C476" s="64">
        <f>12*3.5</f>
        <v>42</v>
      </c>
      <c r="E476" s="64">
        <v>9</v>
      </c>
      <c r="F476" s="64" t="s">
        <v>262</v>
      </c>
      <c r="G476" s="64">
        <f>8*3.5</f>
        <v>28</v>
      </c>
      <c r="I476" s="64">
        <v>3</v>
      </c>
      <c r="J476" s="64" t="s">
        <v>262</v>
      </c>
      <c r="K476" s="64">
        <f>15*3.5</f>
        <v>52.5</v>
      </c>
      <c r="Q476" s="64">
        <v>1</v>
      </c>
      <c r="R476" s="64" t="s">
        <v>262</v>
      </c>
      <c r="S476" s="64">
        <f>20*3.5</f>
        <v>70</v>
      </c>
      <c r="U476" s="64">
        <v>7</v>
      </c>
      <c r="V476" s="64" t="s">
        <v>262</v>
      </c>
      <c r="W476" s="64">
        <f>10*4</f>
        <v>40</v>
      </c>
      <c r="Y476" s="64">
        <v>1</v>
      </c>
      <c r="Z476" s="64" t="s">
        <v>262</v>
      </c>
      <c r="AA476" s="64">
        <f>20*3.5</f>
        <v>70</v>
      </c>
      <c r="AC476" s="122">
        <f t="shared" ref="AC476:AC483" si="17">AA476+W476+S476+O476+K476+G476+C476</f>
        <v>302.5</v>
      </c>
      <c r="AD476" t="s">
        <v>392</v>
      </c>
    </row>
    <row r="477" spans="1:30" x14ac:dyDescent="0.3">
      <c r="I477" s="64">
        <v>7</v>
      </c>
      <c r="J477" s="64" t="s">
        <v>250</v>
      </c>
      <c r="K477" s="64">
        <f>10*3.5</f>
        <v>35</v>
      </c>
      <c r="Y477" s="64"/>
      <c r="Z477" s="64" t="s">
        <v>250</v>
      </c>
      <c r="AA477" s="64"/>
      <c r="AC477" s="122">
        <f t="shared" si="17"/>
        <v>35</v>
      </c>
      <c r="AD477" t="s">
        <v>392</v>
      </c>
    </row>
    <row r="478" spans="1:30" x14ac:dyDescent="0.3">
      <c r="I478" s="64">
        <v>2</v>
      </c>
      <c r="J478" s="64" t="s">
        <v>249</v>
      </c>
      <c r="K478" s="64">
        <f>17*3.5</f>
        <v>59.5</v>
      </c>
      <c r="U478" s="64">
        <v>3</v>
      </c>
      <c r="V478" s="64" t="s">
        <v>249</v>
      </c>
      <c r="W478" s="64">
        <f>15*4</f>
        <v>60</v>
      </c>
      <c r="Y478" s="64"/>
      <c r="Z478" s="64" t="s">
        <v>249</v>
      </c>
      <c r="AA478" s="64"/>
      <c r="AC478" s="122">
        <f t="shared" si="17"/>
        <v>119.5</v>
      </c>
      <c r="AD478" t="s">
        <v>392</v>
      </c>
    </row>
    <row r="479" spans="1:30" x14ac:dyDescent="0.3">
      <c r="Q479" s="64">
        <v>11</v>
      </c>
      <c r="R479" s="64" t="s">
        <v>394</v>
      </c>
      <c r="S479" s="64">
        <f>6*3.5</f>
        <v>21</v>
      </c>
      <c r="Y479" s="64"/>
      <c r="Z479" s="64" t="s">
        <v>394</v>
      </c>
      <c r="AA479" s="64"/>
      <c r="AC479" s="122">
        <f t="shared" si="17"/>
        <v>21</v>
      </c>
      <c r="AD479" t="s">
        <v>392</v>
      </c>
    </row>
    <row r="480" spans="1:30" x14ac:dyDescent="0.3">
      <c r="Q480" s="64">
        <v>14</v>
      </c>
      <c r="R480" s="64" t="s">
        <v>193</v>
      </c>
      <c r="S480" s="64">
        <f>3*3.5</f>
        <v>10.5</v>
      </c>
      <c r="Y480" s="64"/>
      <c r="Z480" s="64" t="s">
        <v>193</v>
      </c>
      <c r="AA480" s="64"/>
      <c r="AC480" s="122">
        <f t="shared" si="17"/>
        <v>10.5</v>
      </c>
      <c r="AD480" t="s">
        <v>392</v>
      </c>
    </row>
    <row r="481" spans="1:30" x14ac:dyDescent="0.3">
      <c r="Q481" s="64">
        <v>12</v>
      </c>
      <c r="R481" s="64" t="s">
        <v>251</v>
      </c>
      <c r="S481" s="64">
        <f>5*3.5</f>
        <v>17.5</v>
      </c>
      <c r="Y481" s="64"/>
      <c r="Z481" s="64" t="s">
        <v>251</v>
      </c>
      <c r="AA481" s="64"/>
      <c r="AC481" s="122">
        <f t="shared" si="17"/>
        <v>17.5</v>
      </c>
      <c r="AD481" t="s">
        <v>392</v>
      </c>
    </row>
    <row r="482" spans="1:30" x14ac:dyDescent="0.3">
      <c r="Q482" s="64">
        <v>13</v>
      </c>
      <c r="R482" s="64" t="s">
        <v>393</v>
      </c>
      <c r="S482" s="64">
        <f>4*3.5</f>
        <v>14</v>
      </c>
      <c r="Y482" s="64"/>
      <c r="Z482" s="64" t="s">
        <v>393</v>
      </c>
      <c r="AA482" s="64"/>
      <c r="AC482" s="122">
        <f t="shared" si="17"/>
        <v>14</v>
      </c>
      <c r="AD482" t="s">
        <v>392</v>
      </c>
    </row>
    <row r="483" spans="1:30" x14ac:dyDescent="0.3">
      <c r="A483" s="64">
        <v>7</v>
      </c>
      <c r="B483" s="64" t="s">
        <v>197</v>
      </c>
      <c r="C483" s="64">
        <f>10*3.5</f>
        <v>35</v>
      </c>
      <c r="M483" s="64">
        <v>13</v>
      </c>
      <c r="N483" s="64" t="s">
        <v>197</v>
      </c>
      <c r="O483" s="64">
        <f>4*3.5</f>
        <v>14</v>
      </c>
      <c r="Q483" s="64">
        <v>7</v>
      </c>
      <c r="R483" s="64" t="s">
        <v>197</v>
      </c>
      <c r="S483" s="64">
        <f>10*3.5</f>
        <v>35</v>
      </c>
      <c r="Y483" s="64"/>
      <c r="Z483" s="64" t="s">
        <v>197</v>
      </c>
      <c r="AA483" s="64"/>
      <c r="AC483" s="122">
        <f t="shared" si="17"/>
        <v>84</v>
      </c>
      <c r="AD483" t="s">
        <v>392</v>
      </c>
    </row>
    <row r="485" spans="1:30" x14ac:dyDescent="0.3">
      <c r="A485" s="116" t="s">
        <v>350</v>
      </c>
      <c r="B485" s="116"/>
      <c r="C485" s="116"/>
      <c r="D485" s="116"/>
      <c r="E485" s="116"/>
    </row>
    <row r="486" spans="1:30" x14ac:dyDescent="0.3">
      <c r="A486" s="116">
        <v>155</v>
      </c>
      <c r="B486" s="116" t="s">
        <v>387</v>
      </c>
    </row>
    <row r="487" spans="1:30" x14ac:dyDescent="0.3">
      <c r="A487" s="64">
        <v>12</v>
      </c>
      <c r="B487" s="64" t="s">
        <v>262</v>
      </c>
      <c r="C487" s="64">
        <f>5*6</f>
        <v>30</v>
      </c>
    </row>
    <row r="489" spans="1:30" x14ac:dyDescent="0.3">
      <c r="A489" s="116" t="s">
        <v>342</v>
      </c>
    </row>
    <row r="490" spans="1:30" x14ac:dyDescent="0.3">
      <c r="A490" s="116">
        <v>135</v>
      </c>
      <c r="B490" s="116" t="s">
        <v>379</v>
      </c>
    </row>
    <row r="491" spans="1:30" x14ac:dyDescent="0.3">
      <c r="A491" s="64">
        <v>8</v>
      </c>
      <c r="B491" s="64" t="s">
        <v>344</v>
      </c>
      <c r="C491" s="64">
        <f>9*3.5</f>
        <v>31.5</v>
      </c>
    </row>
    <row r="493" spans="1:30" x14ac:dyDescent="0.3">
      <c r="A493" s="116" t="s">
        <v>354</v>
      </c>
    </row>
    <row r="494" spans="1:30" x14ac:dyDescent="0.3">
      <c r="A494" s="116">
        <v>130</v>
      </c>
      <c r="B494" s="116" t="s">
        <v>379</v>
      </c>
      <c r="F494" s="116">
        <v>135</v>
      </c>
      <c r="G494" s="116" t="s">
        <v>379</v>
      </c>
      <c r="J494" s="116">
        <v>140</v>
      </c>
      <c r="K494" s="116" t="s">
        <v>379</v>
      </c>
      <c r="N494" s="116">
        <v>140</v>
      </c>
      <c r="O494" s="116" t="s">
        <v>379</v>
      </c>
      <c r="Q494" s="122" t="s">
        <v>91</v>
      </c>
    </row>
    <row r="495" spans="1:30" x14ac:dyDescent="0.3">
      <c r="A495" s="64">
        <v>15</v>
      </c>
      <c r="B495" s="64" t="s">
        <v>262</v>
      </c>
      <c r="C495" s="64">
        <f>2*3.5</f>
        <v>7</v>
      </c>
      <c r="E495" s="64">
        <v>2</v>
      </c>
      <c r="F495" s="64" t="s">
        <v>262</v>
      </c>
      <c r="G495" s="64">
        <f>17*3.5</f>
        <v>59.5</v>
      </c>
      <c r="I495" s="64">
        <v>1</v>
      </c>
      <c r="J495" s="64" t="s">
        <v>262</v>
      </c>
      <c r="K495" s="64">
        <f>20*3.5</f>
        <v>70</v>
      </c>
      <c r="M495" s="64">
        <v>11</v>
      </c>
      <c r="N495" s="64" t="s">
        <v>262</v>
      </c>
      <c r="O495" s="64">
        <f>6*3.5</f>
        <v>21</v>
      </c>
      <c r="Q495" s="122">
        <f>O495+K495+G495+C495</f>
        <v>157.5</v>
      </c>
    </row>
    <row r="497" spans="1:29" x14ac:dyDescent="0.3">
      <c r="A497" s="116" t="s">
        <v>355</v>
      </c>
      <c r="B497" s="116"/>
      <c r="C497" s="116"/>
      <c r="D497" s="116"/>
      <c r="E497" s="116"/>
    </row>
    <row r="498" spans="1:29" x14ac:dyDescent="0.3">
      <c r="A498" s="116">
        <v>135</v>
      </c>
      <c r="B498" s="116" t="s">
        <v>379</v>
      </c>
    </row>
    <row r="499" spans="1:29" x14ac:dyDescent="0.3">
      <c r="A499" s="205">
        <v>14</v>
      </c>
      <c r="B499" s="205" t="s">
        <v>333</v>
      </c>
      <c r="C499" s="204">
        <f>3*3.5</f>
        <v>10.5</v>
      </c>
    </row>
    <row r="501" spans="1:29" x14ac:dyDescent="0.3">
      <c r="A501" s="116" t="s">
        <v>355</v>
      </c>
      <c r="B501" s="116"/>
      <c r="C501" s="116"/>
      <c r="D501" s="116"/>
      <c r="E501" s="116"/>
    </row>
    <row r="502" spans="1:29" x14ac:dyDescent="0.3">
      <c r="A502" s="116">
        <v>135</v>
      </c>
      <c r="B502" s="116" t="s">
        <v>379</v>
      </c>
      <c r="F502" s="116">
        <v>140</v>
      </c>
      <c r="G502" s="116" t="s">
        <v>379</v>
      </c>
      <c r="I502" s="122" t="s">
        <v>91</v>
      </c>
    </row>
    <row r="503" spans="1:29" x14ac:dyDescent="0.3">
      <c r="A503" s="205">
        <v>7</v>
      </c>
      <c r="B503" s="205" t="s">
        <v>286</v>
      </c>
      <c r="C503" s="204">
        <f>10*3.5</f>
        <v>35</v>
      </c>
      <c r="E503" s="205">
        <v>4</v>
      </c>
      <c r="F503" s="205" t="s">
        <v>286</v>
      </c>
      <c r="G503" s="64">
        <f>13*3.5</f>
        <v>45.5</v>
      </c>
      <c r="I503" s="122">
        <f>G503+C503</f>
        <v>80.5</v>
      </c>
      <c r="J503" t="s">
        <v>392</v>
      </c>
    </row>
    <row r="505" spans="1:29" x14ac:dyDescent="0.3">
      <c r="A505" s="116" t="s">
        <v>358</v>
      </c>
      <c r="B505" s="116"/>
      <c r="C505" s="116"/>
      <c r="D505" s="116"/>
      <c r="E505" s="116"/>
    </row>
    <row r="506" spans="1:29" x14ac:dyDescent="0.3">
      <c r="A506" s="116">
        <v>130</v>
      </c>
      <c r="B506" s="116" t="s">
        <v>379</v>
      </c>
    </row>
    <row r="507" spans="1:29" x14ac:dyDescent="0.3">
      <c r="A507" s="205">
        <v>15</v>
      </c>
      <c r="B507" s="205" t="s">
        <v>327</v>
      </c>
      <c r="C507" s="204">
        <f>2*3.5</f>
        <v>7</v>
      </c>
    </row>
    <row r="509" spans="1:29" x14ac:dyDescent="0.3">
      <c r="A509" s="116" t="s">
        <v>360</v>
      </c>
      <c r="B509" s="116"/>
      <c r="C509" s="116"/>
      <c r="D509" s="116"/>
      <c r="E509" s="116"/>
    </row>
    <row r="510" spans="1:29" x14ac:dyDescent="0.3">
      <c r="A510" s="116" t="s">
        <v>391</v>
      </c>
      <c r="B510" s="116" t="s">
        <v>379</v>
      </c>
      <c r="F510" s="116" t="s">
        <v>391</v>
      </c>
      <c r="G510" s="116" t="s">
        <v>379</v>
      </c>
      <c r="J510" s="116" t="s">
        <v>386</v>
      </c>
      <c r="K510" s="116" t="s">
        <v>387</v>
      </c>
      <c r="N510" s="116" t="s">
        <v>390</v>
      </c>
      <c r="O510" s="116" t="s">
        <v>383</v>
      </c>
      <c r="R510" s="116" t="s">
        <v>389</v>
      </c>
      <c r="S510" s="116" t="s">
        <v>385</v>
      </c>
      <c r="V510" s="116" t="s">
        <v>388</v>
      </c>
      <c r="W510" s="116" t="s">
        <v>387</v>
      </c>
      <c r="Z510" s="116" t="s">
        <v>386</v>
      </c>
      <c r="AA510" s="116" t="s">
        <v>385</v>
      </c>
      <c r="AC510" s="122" t="s">
        <v>91</v>
      </c>
    </row>
    <row r="511" spans="1:29" x14ac:dyDescent="0.3">
      <c r="A511" s="64">
        <v>13</v>
      </c>
      <c r="B511" s="205" t="s">
        <v>262</v>
      </c>
      <c r="C511" s="64">
        <f>4*3.5</f>
        <v>14</v>
      </c>
      <c r="Q511" s="64">
        <v>10</v>
      </c>
      <c r="R511" s="64" t="s">
        <v>262</v>
      </c>
      <c r="S511" s="64">
        <f>7*6.5</f>
        <v>45.5</v>
      </c>
      <c r="U511" s="64">
        <v>12</v>
      </c>
      <c r="V511" s="64" t="s">
        <v>262</v>
      </c>
      <c r="W511" s="64">
        <f>5*6</f>
        <v>30</v>
      </c>
      <c r="Y511" s="64">
        <v>9</v>
      </c>
      <c r="Z511" s="64" t="s">
        <v>262</v>
      </c>
      <c r="AA511" s="64">
        <f>8*6.5</f>
        <v>52</v>
      </c>
      <c r="AC511" s="122">
        <f>AA511+W511+S511+O511+K511+G511+C511</f>
        <v>141.5</v>
      </c>
    </row>
    <row r="512" spans="1:29" x14ac:dyDescent="0.3">
      <c r="E512" s="64">
        <v>13</v>
      </c>
      <c r="F512" s="205" t="s">
        <v>249</v>
      </c>
      <c r="G512" s="64">
        <f>4*3.5</f>
        <v>14</v>
      </c>
      <c r="I512" s="64">
        <v>8</v>
      </c>
      <c r="J512" s="64" t="s">
        <v>249</v>
      </c>
      <c r="K512" s="64">
        <f>9*6</f>
        <v>54</v>
      </c>
      <c r="M512" s="64">
        <v>5</v>
      </c>
      <c r="N512" s="64" t="s">
        <v>249</v>
      </c>
      <c r="O512" s="64">
        <f>12*5.5</f>
        <v>66</v>
      </c>
      <c r="Y512" s="64">
        <v>6</v>
      </c>
      <c r="Z512" s="64" t="s">
        <v>249</v>
      </c>
      <c r="AA512" s="64">
        <f>11*6.5</f>
        <v>71.5</v>
      </c>
      <c r="AC512" s="122">
        <f>AA512+W512+S512+O512+K512+G512+C512</f>
        <v>205.5</v>
      </c>
    </row>
    <row r="514" spans="1:17" x14ac:dyDescent="0.3">
      <c r="A514" s="116" t="s">
        <v>361</v>
      </c>
      <c r="B514" s="116"/>
      <c r="C514" s="116"/>
      <c r="D514" s="116"/>
      <c r="E514" s="116"/>
    </row>
    <row r="515" spans="1:17" x14ac:dyDescent="0.3">
      <c r="A515" s="116">
        <v>135</v>
      </c>
      <c r="B515" s="116" t="s">
        <v>379</v>
      </c>
      <c r="F515" s="116">
        <v>140</v>
      </c>
      <c r="G515" s="116" t="s">
        <v>379</v>
      </c>
      <c r="J515" s="116">
        <v>145</v>
      </c>
      <c r="K515" s="116" t="s">
        <v>378</v>
      </c>
      <c r="M515" s="122" t="s">
        <v>91</v>
      </c>
    </row>
    <row r="516" spans="1:17" x14ac:dyDescent="0.3">
      <c r="A516" s="64">
        <v>4</v>
      </c>
      <c r="B516" s="64" t="s">
        <v>286</v>
      </c>
      <c r="C516" s="64">
        <f>13*3.5</f>
        <v>45.5</v>
      </c>
      <c r="E516" s="64">
        <v>1</v>
      </c>
      <c r="F516" s="64" t="s">
        <v>286</v>
      </c>
      <c r="G516" s="64">
        <f>20*3.5</f>
        <v>70</v>
      </c>
      <c r="I516" s="64">
        <v>13</v>
      </c>
      <c r="J516" s="64" t="s">
        <v>286</v>
      </c>
      <c r="K516" s="64">
        <f>4*4</f>
        <v>16</v>
      </c>
      <c r="M516" s="122">
        <f>K516+G516+C516</f>
        <v>131.5</v>
      </c>
    </row>
    <row r="518" spans="1:17" x14ac:dyDescent="0.3">
      <c r="A518" s="116" t="s">
        <v>363</v>
      </c>
      <c r="B518" s="116"/>
      <c r="C518" s="116"/>
      <c r="D518" s="116"/>
      <c r="E518" s="116"/>
    </row>
    <row r="519" spans="1:17" x14ac:dyDescent="0.3">
      <c r="A519" s="116">
        <v>140</v>
      </c>
      <c r="B519" s="116" t="s">
        <v>379</v>
      </c>
    </row>
    <row r="520" spans="1:17" x14ac:dyDescent="0.3">
      <c r="A520" s="205">
        <v>11</v>
      </c>
      <c r="B520" s="205" t="s">
        <v>327</v>
      </c>
      <c r="C520" s="204">
        <f>6*3.5</f>
        <v>21</v>
      </c>
    </row>
    <row r="522" spans="1:17" x14ac:dyDescent="0.3">
      <c r="A522" s="116" t="s">
        <v>355</v>
      </c>
      <c r="B522" s="116"/>
      <c r="C522" s="116"/>
      <c r="D522" s="116"/>
      <c r="E522" s="116"/>
    </row>
    <row r="523" spans="1:17" x14ac:dyDescent="0.3">
      <c r="A523" s="116">
        <v>145</v>
      </c>
      <c r="B523" s="116" t="s">
        <v>378</v>
      </c>
      <c r="F523" s="116">
        <v>135</v>
      </c>
      <c r="G523" s="116" t="s">
        <v>379</v>
      </c>
      <c r="J523" s="116">
        <v>135</v>
      </c>
      <c r="K523" s="116" t="s">
        <v>379</v>
      </c>
      <c r="N523" s="116">
        <v>140</v>
      </c>
      <c r="O523" s="116" t="s">
        <v>379</v>
      </c>
      <c r="Q523" s="122" t="s">
        <v>91</v>
      </c>
    </row>
    <row r="524" spans="1:17" x14ac:dyDescent="0.3">
      <c r="A524" s="205">
        <v>16</v>
      </c>
      <c r="B524" s="205" t="s">
        <v>333</v>
      </c>
      <c r="C524" s="204">
        <f>1*4</f>
        <v>4</v>
      </c>
      <c r="E524" s="205">
        <v>16</v>
      </c>
      <c r="F524" s="205" t="s">
        <v>333</v>
      </c>
      <c r="G524" s="64">
        <f>1*3.5</f>
        <v>3.5</v>
      </c>
      <c r="I524" s="205">
        <v>5</v>
      </c>
      <c r="J524" s="205" t="s">
        <v>333</v>
      </c>
      <c r="K524" s="64">
        <f>12*3.5</f>
        <v>42</v>
      </c>
      <c r="M524" s="205">
        <v>14</v>
      </c>
      <c r="N524" s="205" t="s">
        <v>333</v>
      </c>
      <c r="O524" s="64">
        <f>3*3.5</f>
        <v>10.5</v>
      </c>
      <c r="Q524" s="122">
        <f>O524+K524+G524+C524</f>
        <v>60</v>
      </c>
    </row>
    <row r="526" spans="1:17" x14ac:dyDescent="0.3">
      <c r="A526" s="116" t="s">
        <v>366</v>
      </c>
      <c r="B526" s="116"/>
      <c r="C526" s="116"/>
      <c r="D526" s="116"/>
      <c r="E526" s="116"/>
    </row>
    <row r="527" spans="1:17" x14ac:dyDescent="0.3">
      <c r="A527" s="116">
        <v>140</v>
      </c>
      <c r="B527" s="116" t="s">
        <v>379</v>
      </c>
      <c r="F527" s="116">
        <v>130</v>
      </c>
      <c r="G527" s="116" t="s">
        <v>379</v>
      </c>
      <c r="J527" s="116">
        <v>140</v>
      </c>
      <c r="K527" s="116" t="s">
        <v>379</v>
      </c>
      <c r="N527" s="116">
        <v>135</v>
      </c>
      <c r="O527" s="116" t="s">
        <v>379</v>
      </c>
      <c r="Q527" s="122" t="s">
        <v>91</v>
      </c>
    </row>
    <row r="528" spans="1:17" x14ac:dyDescent="0.3">
      <c r="A528" s="205">
        <v>14</v>
      </c>
      <c r="B528" s="205" t="s">
        <v>251</v>
      </c>
      <c r="C528" s="204">
        <f>3*3.5</f>
        <v>10.5</v>
      </c>
      <c r="E528" s="64">
        <v>10</v>
      </c>
      <c r="F528" s="64" t="s">
        <v>251</v>
      </c>
      <c r="G528" s="64">
        <f>7*3.5</f>
        <v>24.5</v>
      </c>
      <c r="I528" s="64">
        <v>13</v>
      </c>
      <c r="J528" s="64" t="s">
        <v>251</v>
      </c>
      <c r="K528" s="64">
        <f>4*3.5</f>
        <v>14</v>
      </c>
      <c r="Q528" s="122">
        <f>O528+K528+G528+C528</f>
        <v>49</v>
      </c>
    </row>
    <row r="529" spans="1:29" x14ac:dyDescent="0.3">
      <c r="E529" s="64">
        <v>3</v>
      </c>
      <c r="F529" s="64" t="s">
        <v>250</v>
      </c>
      <c r="G529" s="64">
        <f>15*3.5</f>
        <v>52.5</v>
      </c>
      <c r="M529" s="64">
        <v>2</v>
      </c>
      <c r="N529" s="64" t="s">
        <v>250</v>
      </c>
      <c r="O529" s="64">
        <f>17*3.5</f>
        <v>59.5</v>
      </c>
      <c r="Q529" s="122">
        <f>O529+K529+G529+C529</f>
        <v>112</v>
      </c>
    </row>
    <row r="530" spans="1:29" x14ac:dyDescent="0.3">
      <c r="E530" s="64">
        <v>11</v>
      </c>
      <c r="F530" s="64" t="s">
        <v>249</v>
      </c>
      <c r="G530" s="64">
        <f>6*3.5</f>
        <v>21</v>
      </c>
      <c r="Q530" s="122">
        <f>O530+K530+G530+C530</f>
        <v>21</v>
      </c>
    </row>
    <row r="531" spans="1:29" x14ac:dyDescent="0.3">
      <c r="I531" s="64">
        <v>16</v>
      </c>
      <c r="J531" s="64" t="s">
        <v>197</v>
      </c>
      <c r="K531" s="64">
        <f>1*3.5</f>
        <v>3.5</v>
      </c>
      <c r="Q531" s="122">
        <f>O531+K531+G531+C531</f>
        <v>3.5</v>
      </c>
    </row>
    <row r="533" spans="1:29" x14ac:dyDescent="0.3">
      <c r="A533" s="116" t="s">
        <v>367</v>
      </c>
      <c r="B533" s="206"/>
      <c r="C533" s="206"/>
      <c r="D533" s="206"/>
      <c r="E533" s="206"/>
    </row>
    <row r="534" spans="1:29" x14ac:dyDescent="0.3">
      <c r="A534" s="116">
        <v>140</v>
      </c>
      <c r="B534" s="116" t="s">
        <v>382</v>
      </c>
      <c r="F534" s="116">
        <v>140</v>
      </c>
      <c r="G534" s="116" t="s">
        <v>382</v>
      </c>
      <c r="J534" s="116">
        <v>145</v>
      </c>
      <c r="K534" s="116" t="s">
        <v>381</v>
      </c>
      <c r="N534" s="116">
        <v>135</v>
      </c>
      <c r="O534" s="116" t="s">
        <v>382</v>
      </c>
      <c r="Q534" s="122" t="s">
        <v>91</v>
      </c>
    </row>
    <row r="535" spans="1:29" x14ac:dyDescent="0.3">
      <c r="A535" s="64">
        <v>16</v>
      </c>
      <c r="B535" s="64" t="s">
        <v>262</v>
      </c>
      <c r="C535" s="64">
        <f>1*4.5</f>
        <v>4.5</v>
      </c>
      <c r="E535" s="64">
        <v>2</v>
      </c>
      <c r="F535" s="64" t="s">
        <v>262</v>
      </c>
      <c r="G535" s="64">
        <f>17*4.5</f>
        <v>76.5</v>
      </c>
      <c r="I535" s="64">
        <v>8</v>
      </c>
      <c r="J535" s="64" t="s">
        <v>262</v>
      </c>
      <c r="K535" s="64">
        <f>9*5</f>
        <v>45</v>
      </c>
      <c r="M535" s="64">
        <v>2</v>
      </c>
      <c r="N535" s="64" t="s">
        <v>262</v>
      </c>
      <c r="O535" s="64">
        <f>16*4.5</f>
        <v>72</v>
      </c>
      <c r="Q535" s="122">
        <f>O535+K535+G535+C535</f>
        <v>198</v>
      </c>
    </row>
    <row r="537" spans="1:29" x14ac:dyDescent="0.3">
      <c r="A537" s="116" t="s">
        <v>368</v>
      </c>
      <c r="B537" s="116"/>
      <c r="C537" s="116"/>
      <c r="D537" s="116"/>
      <c r="E537" s="116"/>
    </row>
    <row r="538" spans="1:29" x14ac:dyDescent="0.3">
      <c r="A538" s="116">
        <v>135</v>
      </c>
      <c r="B538" s="116" t="s">
        <v>379</v>
      </c>
      <c r="F538" s="116">
        <v>145</v>
      </c>
      <c r="G538" s="116" t="s">
        <v>378</v>
      </c>
      <c r="I538" s="122" t="s">
        <v>91</v>
      </c>
    </row>
    <row r="539" spans="1:29" x14ac:dyDescent="0.3">
      <c r="A539" s="205">
        <v>10</v>
      </c>
      <c r="B539" s="205" t="s">
        <v>286</v>
      </c>
      <c r="C539" s="204">
        <f>7*3.5</f>
        <v>24.5</v>
      </c>
      <c r="E539" s="64">
        <v>14</v>
      </c>
      <c r="F539" s="64" t="s">
        <v>286</v>
      </c>
      <c r="G539" s="64">
        <f>3*4</f>
        <v>12</v>
      </c>
      <c r="I539" s="122">
        <f>G539+C539</f>
        <v>36.5</v>
      </c>
    </row>
    <row r="541" spans="1:29" x14ac:dyDescent="0.3">
      <c r="A541" s="116" t="s">
        <v>370</v>
      </c>
      <c r="B541" s="116"/>
      <c r="C541" s="116"/>
      <c r="D541" s="116"/>
      <c r="E541" s="116"/>
    </row>
    <row r="542" spans="1:29" x14ac:dyDescent="0.3">
      <c r="A542" s="116">
        <v>145</v>
      </c>
      <c r="B542" s="116" t="s">
        <v>381</v>
      </c>
      <c r="F542" s="116" t="s">
        <v>384</v>
      </c>
      <c r="G542" s="116" t="s">
        <v>382</v>
      </c>
      <c r="J542" s="116">
        <v>130</v>
      </c>
      <c r="K542" s="116" t="s">
        <v>382</v>
      </c>
      <c r="N542" s="116">
        <v>150</v>
      </c>
      <c r="O542" s="116" t="s">
        <v>383</v>
      </c>
      <c r="R542" s="116">
        <v>130</v>
      </c>
      <c r="S542" s="116" t="s">
        <v>382</v>
      </c>
      <c r="V542" s="116">
        <v>140</v>
      </c>
      <c r="W542" s="116" t="s">
        <v>382</v>
      </c>
      <c r="Z542" s="116">
        <v>145</v>
      </c>
      <c r="AA542" s="116" t="s">
        <v>381</v>
      </c>
      <c r="AC542" s="122" t="s">
        <v>91</v>
      </c>
    </row>
    <row r="543" spans="1:29" x14ac:dyDescent="0.3">
      <c r="A543" s="205">
        <v>4</v>
      </c>
      <c r="B543" s="205" t="s">
        <v>262</v>
      </c>
      <c r="C543" s="204">
        <f>13*5</f>
        <v>65</v>
      </c>
      <c r="E543" s="64">
        <v>1</v>
      </c>
      <c r="F543" s="64" t="s">
        <v>262</v>
      </c>
      <c r="G543" s="64">
        <f>20*4.5</f>
        <v>90</v>
      </c>
      <c r="I543" s="64">
        <v>4</v>
      </c>
      <c r="J543" s="64" t="s">
        <v>262</v>
      </c>
      <c r="K543" s="64">
        <f>13*4.5</f>
        <v>58.5</v>
      </c>
      <c r="M543" s="64">
        <v>11</v>
      </c>
      <c r="N543" s="64" t="s">
        <v>262</v>
      </c>
      <c r="O543" s="64">
        <f>6*5.5</f>
        <v>33</v>
      </c>
      <c r="Q543" s="64">
        <v>1</v>
      </c>
      <c r="R543" s="64" t="s">
        <v>262</v>
      </c>
      <c r="S543" s="64">
        <f>20*4.5</f>
        <v>90</v>
      </c>
      <c r="U543" s="64">
        <v>2</v>
      </c>
      <c r="V543" s="64" t="s">
        <v>262</v>
      </c>
      <c r="W543" s="64">
        <f>17*4.5</f>
        <v>76.5</v>
      </c>
      <c r="Y543" s="64">
        <v>14</v>
      </c>
      <c r="Z543" s="64" t="s">
        <v>262</v>
      </c>
      <c r="AA543" s="64">
        <f>3*5</f>
        <v>15</v>
      </c>
      <c r="AC543" s="122">
        <f>AA543+W543+S543+O543+K543+G543+C543</f>
        <v>428</v>
      </c>
    </row>
    <row r="545" spans="1:13" x14ac:dyDescent="0.3">
      <c r="A545" s="116" t="s">
        <v>380</v>
      </c>
    </row>
    <row r="546" spans="1:13" x14ac:dyDescent="0.3">
      <c r="B546" s="116">
        <v>135</v>
      </c>
      <c r="C546" s="116" t="s">
        <v>379</v>
      </c>
      <c r="F546" s="116">
        <v>140</v>
      </c>
      <c r="G546" s="116" t="s">
        <v>379</v>
      </c>
      <c r="J546" s="116">
        <v>145</v>
      </c>
      <c r="K546" s="116" t="s">
        <v>378</v>
      </c>
      <c r="M546" s="122" t="s">
        <v>91</v>
      </c>
    </row>
    <row r="547" spans="1:13" x14ac:dyDescent="0.3">
      <c r="A547" s="64">
        <v>13</v>
      </c>
      <c r="B547" s="64" t="s">
        <v>253</v>
      </c>
      <c r="C547" s="64">
        <f>4*3.5</f>
        <v>14</v>
      </c>
      <c r="E547" s="64">
        <v>7</v>
      </c>
      <c r="F547" s="64" t="s">
        <v>253</v>
      </c>
      <c r="G547" s="64">
        <f>10*3.5</f>
        <v>35</v>
      </c>
      <c r="I547" s="64">
        <v>10</v>
      </c>
      <c r="J547" s="64" t="s">
        <v>253</v>
      </c>
      <c r="K547" s="64">
        <f>2*4</f>
        <v>8</v>
      </c>
      <c r="M547" s="122">
        <f t="shared" ref="M547:M555" si="18">K547+G547+C547</f>
        <v>57</v>
      </c>
    </row>
    <row r="548" spans="1:13" x14ac:dyDescent="0.3">
      <c r="A548" s="64">
        <v>15</v>
      </c>
      <c r="B548" s="64" t="s">
        <v>266</v>
      </c>
      <c r="C548" s="64">
        <f>2*3.5</f>
        <v>7</v>
      </c>
      <c r="E548" s="64">
        <v>16</v>
      </c>
      <c r="F548" s="64" t="s">
        <v>266</v>
      </c>
      <c r="G548" s="64">
        <f>1*3.5</f>
        <v>3.5</v>
      </c>
      <c r="M548" s="122">
        <f t="shared" si="18"/>
        <v>10.5</v>
      </c>
    </row>
    <row r="549" spans="1:13" x14ac:dyDescent="0.3">
      <c r="A549" s="64">
        <v>1</v>
      </c>
      <c r="B549" s="64" t="s">
        <v>262</v>
      </c>
      <c r="C549" s="64">
        <f>20*3.5</f>
        <v>70</v>
      </c>
      <c r="E549" s="64">
        <v>14</v>
      </c>
      <c r="F549" s="64" t="s">
        <v>262</v>
      </c>
      <c r="G549" s="64">
        <f>3*3.5</f>
        <v>10.5</v>
      </c>
      <c r="I549" s="64">
        <v>11</v>
      </c>
      <c r="J549" s="64" t="s">
        <v>262</v>
      </c>
      <c r="K549" s="64">
        <f>1*4</f>
        <v>4</v>
      </c>
      <c r="M549" s="122">
        <f t="shared" si="18"/>
        <v>84.5</v>
      </c>
    </row>
    <row r="550" spans="1:13" x14ac:dyDescent="0.3">
      <c r="A550" s="64">
        <v>11</v>
      </c>
      <c r="B550" s="64" t="s">
        <v>252</v>
      </c>
      <c r="C550" s="64">
        <f>6*3.5</f>
        <v>21</v>
      </c>
      <c r="M550" s="122">
        <f t="shared" si="18"/>
        <v>21</v>
      </c>
    </row>
    <row r="551" spans="1:13" x14ac:dyDescent="0.3">
      <c r="A551" s="64">
        <v>4</v>
      </c>
      <c r="B551" s="64" t="s">
        <v>251</v>
      </c>
      <c r="C551" s="64">
        <f>13*3.5</f>
        <v>45.5</v>
      </c>
      <c r="E551" s="64">
        <v>6</v>
      </c>
      <c r="F551" s="64" t="s">
        <v>251</v>
      </c>
      <c r="G551" s="64">
        <f>11*3.5</f>
        <v>38.5</v>
      </c>
      <c r="I551" s="64">
        <v>3</v>
      </c>
      <c r="J551" s="64" t="s">
        <v>251</v>
      </c>
      <c r="K551" s="64">
        <f>10*4</f>
        <v>40</v>
      </c>
      <c r="M551" s="122">
        <f t="shared" si="18"/>
        <v>124</v>
      </c>
    </row>
    <row r="552" spans="1:13" x14ac:dyDescent="0.3">
      <c r="A552" s="64">
        <v>2</v>
      </c>
      <c r="B552" s="64" t="s">
        <v>250</v>
      </c>
      <c r="C552" s="64">
        <f>17*3.5</f>
        <v>59.5</v>
      </c>
      <c r="E552" s="64">
        <v>2</v>
      </c>
      <c r="F552" s="64" t="s">
        <v>250</v>
      </c>
      <c r="G552" s="64">
        <f>17*3.5</f>
        <v>59.5</v>
      </c>
      <c r="I552" s="64">
        <v>1</v>
      </c>
      <c r="J552" s="64" t="s">
        <v>250</v>
      </c>
      <c r="K552" s="64">
        <f>15*4</f>
        <v>60</v>
      </c>
      <c r="M552" s="122">
        <f t="shared" si="18"/>
        <v>179</v>
      </c>
    </row>
    <row r="553" spans="1:13" x14ac:dyDescent="0.3">
      <c r="A553" s="64">
        <v>3</v>
      </c>
      <c r="B553" s="64" t="s">
        <v>249</v>
      </c>
      <c r="C553" s="64">
        <f>15*3.5</f>
        <v>52.5</v>
      </c>
      <c r="E553" s="64">
        <v>1</v>
      </c>
      <c r="F553" s="64" t="s">
        <v>249</v>
      </c>
      <c r="G553" s="64">
        <f>20*3.5</f>
        <v>70</v>
      </c>
      <c r="I553" s="64">
        <v>2</v>
      </c>
      <c r="J553" s="64" t="s">
        <v>249</v>
      </c>
      <c r="K553" s="64">
        <f>12*4</f>
        <v>48</v>
      </c>
      <c r="M553" s="122">
        <f t="shared" si="18"/>
        <v>170.5</v>
      </c>
    </row>
    <row r="554" spans="1:13" x14ac:dyDescent="0.3">
      <c r="A554" s="64">
        <v>5</v>
      </c>
      <c r="B554" s="64" t="s">
        <v>260</v>
      </c>
      <c r="C554" s="64">
        <f>12*3.5</f>
        <v>42</v>
      </c>
      <c r="E554" s="64">
        <v>10</v>
      </c>
      <c r="F554" s="64" t="s">
        <v>260</v>
      </c>
      <c r="G554" s="64">
        <f>7*3.5</f>
        <v>24.5</v>
      </c>
      <c r="I554" s="64">
        <v>8</v>
      </c>
      <c r="J554" s="64" t="s">
        <v>260</v>
      </c>
      <c r="K554" s="64">
        <f>4*4</f>
        <v>16</v>
      </c>
      <c r="M554" s="122">
        <f t="shared" si="18"/>
        <v>82.5</v>
      </c>
    </row>
    <row r="555" spans="1:13" x14ac:dyDescent="0.3">
      <c r="A555" s="64">
        <v>7</v>
      </c>
      <c r="B555" s="64" t="s">
        <v>256</v>
      </c>
      <c r="C555" s="64">
        <f>10*3.5</f>
        <v>35</v>
      </c>
      <c r="E555" s="64">
        <v>4</v>
      </c>
      <c r="F555" s="64" t="s">
        <v>256</v>
      </c>
      <c r="G555" s="64">
        <f>13*3.5</f>
        <v>45.5</v>
      </c>
      <c r="I555" s="64">
        <v>4</v>
      </c>
      <c r="J555" s="64" t="s">
        <v>256</v>
      </c>
      <c r="K555" s="64">
        <f>8*4</f>
        <v>32</v>
      </c>
      <c r="M555" s="122">
        <f t="shared" si="18"/>
        <v>112.5</v>
      </c>
    </row>
    <row r="557" spans="1:13" x14ac:dyDescent="0.3">
      <c r="A557" s="116" t="s">
        <v>309</v>
      </c>
    </row>
    <row r="558" spans="1:13" x14ac:dyDescent="0.3">
      <c r="B558" s="116">
        <v>130</v>
      </c>
      <c r="C558" s="116" t="s">
        <v>382</v>
      </c>
      <c r="F558" s="116">
        <v>140</v>
      </c>
      <c r="G558" s="116" t="s">
        <v>382</v>
      </c>
      <c r="J558" s="116">
        <v>140</v>
      </c>
      <c r="K558" s="116" t="s">
        <v>382</v>
      </c>
      <c r="M558" s="122" t="s">
        <v>91</v>
      </c>
    </row>
    <row r="559" spans="1:13" x14ac:dyDescent="0.3">
      <c r="A559" s="205">
        <v>8</v>
      </c>
      <c r="B559" s="205" t="s">
        <v>286</v>
      </c>
      <c r="C559" s="64">
        <f>9*4.5</f>
        <v>40.5</v>
      </c>
      <c r="E559" s="205">
        <v>2</v>
      </c>
      <c r="F559" s="205" t="s">
        <v>286</v>
      </c>
      <c r="G559" s="64">
        <f>17*4.5</f>
        <v>76.5</v>
      </c>
      <c r="I559" s="205">
        <v>16</v>
      </c>
      <c r="J559" s="205" t="s">
        <v>286</v>
      </c>
      <c r="K559" s="64">
        <f>1*4.5</f>
        <v>4.5</v>
      </c>
      <c r="M559" s="122">
        <f>C559+G559+K559</f>
        <v>121.5</v>
      </c>
    </row>
    <row r="561" spans="1:17" x14ac:dyDescent="0.3">
      <c r="A561" s="116" t="s">
        <v>309</v>
      </c>
      <c r="B561" s="77"/>
      <c r="C561" s="77"/>
    </row>
    <row r="562" spans="1:17" x14ac:dyDescent="0.3">
      <c r="A562" s="77"/>
      <c r="B562" s="116">
        <v>140</v>
      </c>
      <c r="C562" s="116" t="s">
        <v>382</v>
      </c>
      <c r="F562" s="116">
        <v>140</v>
      </c>
      <c r="G562" s="116" t="s">
        <v>382</v>
      </c>
      <c r="J562" s="116">
        <v>140</v>
      </c>
      <c r="K562" s="116" t="s">
        <v>382</v>
      </c>
      <c r="N562" s="116">
        <v>135</v>
      </c>
      <c r="O562" s="116" t="s">
        <v>382</v>
      </c>
      <c r="Q562" s="122" t="s">
        <v>91</v>
      </c>
    </row>
    <row r="563" spans="1:17" x14ac:dyDescent="0.3">
      <c r="A563" s="205">
        <v>14</v>
      </c>
      <c r="B563" s="205" t="s">
        <v>286</v>
      </c>
      <c r="C563" s="64">
        <f>3*4.5</f>
        <v>13.5</v>
      </c>
      <c r="E563" s="205">
        <v>2</v>
      </c>
      <c r="F563" s="205" t="s">
        <v>286</v>
      </c>
      <c r="G563" s="64">
        <f>17*4.5</f>
        <v>76.5</v>
      </c>
      <c r="I563" s="205">
        <v>9</v>
      </c>
      <c r="J563" s="205" t="s">
        <v>286</v>
      </c>
      <c r="K563" s="64">
        <f>8*4.5</f>
        <v>36</v>
      </c>
      <c r="M563" s="205">
        <v>2</v>
      </c>
      <c r="N563" s="205" t="s">
        <v>286</v>
      </c>
      <c r="O563" s="64">
        <f>17*4.5</f>
        <v>76.5</v>
      </c>
      <c r="Q563" s="122">
        <f>C563+G563+K563+O563</f>
        <v>202.5</v>
      </c>
    </row>
    <row r="564" spans="1:17" x14ac:dyDescent="0.3">
      <c r="A564" s="77"/>
      <c r="B564" s="77"/>
      <c r="C564" s="77"/>
    </row>
    <row r="565" spans="1:17" x14ac:dyDescent="0.3">
      <c r="A565" s="116" t="s">
        <v>461</v>
      </c>
    </row>
    <row r="566" spans="1:17" x14ac:dyDescent="0.3">
      <c r="B566" s="116">
        <v>140</v>
      </c>
      <c r="C566" s="116" t="s">
        <v>379</v>
      </c>
      <c r="F566" s="116">
        <v>145</v>
      </c>
      <c r="G566" s="116" t="s">
        <v>378</v>
      </c>
      <c r="J566" s="116">
        <v>145</v>
      </c>
      <c r="K566" s="116" t="s">
        <v>378</v>
      </c>
      <c r="M566" s="122" t="s">
        <v>91</v>
      </c>
    </row>
    <row r="567" spans="1:17" x14ac:dyDescent="0.3">
      <c r="A567" s="64">
        <v>15</v>
      </c>
      <c r="B567" s="64" t="s">
        <v>462</v>
      </c>
      <c r="C567" s="64">
        <f>2*3.5</f>
        <v>7</v>
      </c>
      <c r="E567" s="64">
        <v>10</v>
      </c>
      <c r="F567" s="64" t="s">
        <v>462</v>
      </c>
      <c r="G567" s="64">
        <f>7*4</f>
        <v>28</v>
      </c>
      <c r="I567" s="64">
        <v>2</v>
      </c>
      <c r="J567" s="64" t="s">
        <v>462</v>
      </c>
      <c r="K567" s="64">
        <f>17*4</f>
        <v>68</v>
      </c>
      <c r="M567" s="122">
        <f>C567+G567+K567</f>
        <v>103</v>
      </c>
    </row>
    <row r="569" spans="1:17" x14ac:dyDescent="0.3">
      <c r="A569" s="116" t="s">
        <v>467</v>
      </c>
    </row>
    <row r="570" spans="1:17" x14ac:dyDescent="0.3">
      <c r="A570" s="116" t="s">
        <v>465</v>
      </c>
      <c r="B570" s="116">
        <v>135</v>
      </c>
      <c r="C570" s="116" t="s">
        <v>382</v>
      </c>
      <c r="F570" s="116">
        <v>140</v>
      </c>
      <c r="G570" s="116" t="s">
        <v>382</v>
      </c>
      <c r="J570" s="116">
        <v>135</v>
      </c>
      <c r="K570" s="116" t="s">
        <v>382</v>
      </c>
      <c r="N570" s="116">
        <v>140</v>
      </c>
      <c r="O570" s="116" t="s">
        <v>382</v>
      </c>
      <c r="Q570" s="122" t="s">
        <v>91</v>
      </c>
    </row>
    <row r="571" spans="1:17" x14ac:dyDescent="0.3">
      <c r="A571" s="64">
        <v>1</v>
      </c>
      <c r="B571" s="64" t="s">
        <v>249</v>
      </c>
      <c r="C571" s="64">
        <f>20*4.5</f>
        <v>90</v>
      </c>
      <c r="E571" s="64">
        <v>9</v>
      </c>
      <c r="F571" s="64" t="s">
        <v>249</v>
      </c>
      <c r="G571" s="64">
        <f>8*4.5</f>
        <v>36</v>
      </c>
      <c r="I571" s="64">
        <v>1</v>
      </c>
      <c r="J571" s="64" t="s">
        <v>249</v>
      </c>
      <c r="K571" s="64">
        <f>20*4.5</f>
        <v>90</v>
      </c>
      <c r="M571" s="64">
        <v>4</v>
      </c>
      <c r="N571" s="64" t="s">
        <v>249</v>
      </c>
      <c r="O571" s="64">
        <f>13*4.5</f>
        <v>58.5</v>
      </c>
      <c r="Q571" s="122">
        <f>C571+G571+K571+O571</f>
        <v>274.5</v>
      </c>
    </row>
    <row r="572" spans="1:17" x14ac:dyDescent="0.3">
      <c r="A572" s="64">
        <v>2</v>
      </c>
      <c r="B572" s="64" t="s">
        <v>262</v>
      </c>
      <c r="C572" s="64">
        <f>17*4.5</f>
        <v>76.5</v>
      </c>
      <c r="Q572" s="122">
        <f>C572+G572+K572+O572</f>
        <v>76.5</v>
      </c>
    </row>
    <row r="574" spans="1:17" x14ac:dyDescent="0.3">
      <c r="A574" s="116" t="s">
        <v>466</v>
      </c>
      <c r="B574" s="116">
        <v>130</v>
      </c>
      <c r="C574" s="116" t="s">
        <v>379</v>
      </c>
      <c r="E574" s="122" t="s">
        <v>91</v>
      </c>
    </row>
    <row r="575" spans="1:17" x14ac:dyDescent="0.3">
      <c r="A575" s="204">
        <v>2</v>
      </c>
      <c r="B575" s="204" t="s">
        <v>394</v>
      </c>
      <c r="C575" s="204">
        <f>17*3.5</f>
        <v>59.5</v>
      </c>
      <c r="E575" s="122">
        <f>C575</f>
        <v>59.5</v>
      </c>
    </row>
    <row r="577" spans="1:1" x14ac:dyDescent="0.3">
      <c r="A577" s="116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Normal="100" workbookViewId="0">
      <selection activeCell="L15" sqref="L15"/>
    </sheetView>
  </sheetViews>
  <sheetFormatPr defaultRowHeight="14.4" x14ac:dyDescent="0.3"/>
  <cols>
    <col min="1" max="1" width="8.88671875" customWidth="1"/>
    <col min="2" max="2" width="22" customWidth="1"/>
    <col min="3" max="6" width="9.109375" customWidth="1"/>
    <col min="7" max="8" width="8.88671875" customWidth="1"/>
    <col min="9" max="9" width="12.88671875" customWidth="1"/>
  </cols>
  <sheetData>
    <row r="1" spans="1:9" ht="14.4" customHeight="1" x14ac:dyDescent="0.3">
      <c r="A1" s="301" t="s">
        <v>128</v>
      </c>
      <c r="B1" s="302"/>
      <c r="C1" s="302"/>
      <c r="D1" s="302"/>
      <c r="E1" s="302"/>
      <c r="F1" s="302"/>
      <c r="G1" s="302"/>
      <c r="H1" s="302"/>
      <c r="I1" s="303"/>
    </row>
    <row r="2" spans="1:9" x14ac:dyDescent="0.3">
      <c r="A2" s="304"/>
      <c r="B2" s="305"/>
      <c r="C2" s="305"/>
      <c r="D2" s="305"/>
      <c r="E2" s="305"/>
      <c r="F2" s="305"/>
      <c r="G2" s="305"/>
      <c r="H2" s="305"/>
      <c r="I2" s="306"/>
    </row>
    <row r="3" spans="1:9" x14ac:dyDescent="0.3">
      <c r="A3" s="304"/>
      <c r="B3" s="305"/>
      <c r="C3" s="305"/>
      <c r="D3" s="305"/>
      <c r="E3" s="305"/>
      <c r="F3" s="305"/>
      <c r="G3" s="305"/>
      <c r="H3" s="305"/>
      <c r="I3" s="306"/>
    </row>
    <row r="4" spans="1:9" ht="15" thickBot="1" x14ac:dyDescent="0.35">
      <c r="A4" s="307"/>
      <c r="B4" s="308"/>
      <c r="C4" s="308"/>
      <c r="D4" s="308"/>
      <c r="E4" s="308"/>
      <c r="F4" s="308"/>
      <c r="G4" s="308"/>
      <c r="H4" s="308"/>
      <c r="I4" s="309"/>
    </row>
    <row r="5" spans="1:9" ht="15" thickBot="1" x14ac:dyDescent="0.35">
      <c r="A5" s="67" t="s">
        <v>89</v>
      </c>
      <c r="B5" s="63" t="s">
        <v>90</v>
      </c>
      <c r="C5" s="86">
        <v>2</v>
      </c>
      <c r="D5" s="86">
        <v>3</v>
      </c>
      <c r="E5" s="86">
        <v>8</v>
      </c>
      <c r="F5" s="86">
        <v>10</v>
      </c>
      <c r="G5" s="62">
        <v>11</v>
      </c>
      <c r="H5" s="120">
        <v>1</v>
      </c>
      <c r="I5" s="163" t="s">
        <v>91</v>
      </c>
    </row>
    <row r="6" spans="1:9" x14ac:dyDescent="0.3">
      <c r="A6" s="131">
        <v>1</v>
      </c>
      <c r="B6" s="64" t="s">
        <v>107</v>
      </c>
      <c r="C6" s="65">
        <v>60</v>
      </c>
      <c r="D6" s="65">
        <v>8</v>
      </c>
      <c r="E6" s="65">
        <v>10</v>
      </c>
      <c r="F6" s="65">
        <v>18</v>
      </c>
      <c r="G6" s="65">
        <v>38</v>
      </c>
      <c r="H6" s="155">
        <v>11</v>
      </c>
      <c r="I6" s="164">
        <f t="shared" ref="I6:I25" si="0">SUM(C6:H6)</f>
        <v>145</v>
      </c>
    </row>
    <row r="7" spans="1:9" x14ac:dyDescent="0.3">
      <c r="A7" s="124">
        <v>2</v>
      </c>
      <c r="B7" s="64" t="s">
        <v>102</v>
      </c>
      <c r="C7" s="66">
        <v>64</v>
      </c>
      <c r="D7" s="66"/>
      <c r="E7" s="66"/>
      <c r="F7" s="66"/>
      <c r="G7" s="66">
        <v>77</v>
      </c>
      <c r="H7" s="156"/>
      <c r="I7" s="164">
        <f t="shared" si="0"/>
        <v>141</v>
      </c>
    </row>
    <row r="8" spans="1:9" x14ac:dyDescent="0.3">
      <c r="A8" s="131">
        <v>3</v>
      </c>
      <c r="B8" s="64" t="s">
        <v>100</v>
      </c>
      <c r="C8" s="66">
        <v>44</v>
      </c>
      <c r="D8" s="66">
        <v>6</v>
      </c>
      <c r="E8" s="66">
        <v>2</v>
      </c>
      <c r="F8" s="66"/>
      <c r="G8" s="66">
        <v>58</v>
      </c>
      <c r="H8" s="156"/>
      <c r="I8" s="164">
        <f t="shared" si="0"/>
        <v>110</v>
      </c>
    </row>
    <row r="9" spans="1:9" x14ac:dyDescent="0.3">
      <c r="A9" s="124">
        <v>4</v>
      </c>
      <c r="B9" s="64" t="s">
        <v>97</v>
      </c>
      <c r="C9" s="66">
        <v>36</v>
      </c>
      <c r="D9" s="66"/>
      <c r="E9" s="66"/>
      <c r="F9" s="66"/>
      <c r="G9" s="66">
        <v>54</v>
      </c>
      <c r="H9" s="156"/>
      <c r="I9" s="164">
        <f t="shared" si="0"/>
        <v>90</v>
      </c>
    </row>
    <row r="10" spans="1:9" x14ac:dyDescent="0.3">
      <c r="A10" s="131">
        <v>5</v>
      </c>
      <c r="B10" s="64" t="s">
        <v>96</v>
      </c>
      <c r="C10" s="66">
        <v>22</v>
      </c>
      <c r="D10" s="66"/>
      <c r="E10" s="66"/>
      <c r="F10" s="66"/>
      <c r="G10" s="66">
        <v>58</v>
      </c>
      <c r="H10" s="156"/>
      <c r="I10" s="164">
        <f t="shared" si="0"/>
        <v>80</v>
      </c>
    </row>
    <row r="11" spans="1:9" x14ac:dyDescent="0.3">
      <c r="A11" s="124">
        <v>6</v>
      </c>
      <c r="B11" s="64" t="s">
        <v>101</v>
      </c>
      <c r="C11" s="66"/>
      <c r="D11" s="66"/>
      <c r="E11" s="66"/>
      <c r="F11" s="66"/>
      <c r="G11" s="66">
        <v>79</v>
      </c>
      <c r="H11" s="156"/>
      <c r="I11" s="164">
        <f t="shared" si="0"/>
        <v>79</v>
      </c>
    </row>
    <row r="12" spans="1:9" x14ac:dyDescent="0.3">
      <c r="A12" s="131">
        <v>7</v>
      </c>
      <c r="B12" s="64" t="s">
        <v>98</v>
      </c>
      <c r="C12" s="66"/>
      <c r="D12" s="66"/>
      <c r="E12" s="66"/>
      <c r="F12" s="66"/>
      <c r="G12" s="66">
        <v>69</v>
      </c>
      <c r="H12" s="156"/>
      <c r="I12" s="164">
        <f t="shared" si="0"/>
        <v>69</v>
      </c>
    </row>
    <row r="13" spans="1:9" x14ac:dyDescent="0.3">
      <c r="A13" s="124">
        <v>8</v>
      </c>
      <c r="B13" s="64" t="s">
        <v>105</v>
      </c>
      <c r="C13" s="66">
        <v>12</v>
      </c>
      <c r="D13" s="66"/>
      <c r="E13" s="66"/>
      <c r="F13" s="66"/>
      <c r="G13" s="66">
        <v>46</v>
      </c>
      <c r="H13" s="156"/>
      <c r="I13" s="164">
        <f t="shared" si="0"/>
        <v>58</v>
      </c>
    </row>
    <row r="14" spans="1:9" x14ac:dyDescent="0.3">
      <c r="A14" s="131">
        <v>9</v>
      </c>
      <c r="B14" s="64" t="s">
        <v>108</v>
      </c>
      <c r="C14" s="66">
        <v>14</v>
      </c>
      <c r="D14" s="66"/>
      <c r="E14" s="66">
        <v>3</v>
      </c>
      <c r="F14" s="66">
        <v>11</v>
      </c>
      <c r="G14" s="66">
        <v>22</v>
      </c>
      <c r="H14" s="156"/>
      <c r="I14" s="164">
        <f t="shared" si="0"/>
        <v>50</v>
      </c>
    </row>
    <row r="15" spans="1:9" x14ac:dyDescent="0.3">
      <c r="A15" s="124">
        <v>10</v>
      </c>
      <c r="B15" s="64" t="s">
        <v>103</v>
      </c>
      <c r="C15" s="66"/>
      <c r="D15" s="66">
        <v>11</v>
      </c>
      <c r="E15" s="66"/>
      <c r="F15" s="66"/>
      <c r="G15" s="66">
        <v>35</v>
      </c>
      <c r="H15" s="156"/>
      <c r="I15" s="164">
        <f t="shared" si="0"/>
        <v>46</v>
      </c>
    </row>
    <row r="16" spans="1:9" x14ac:dyDescent="0.3">
      <c r="A16" s="131">
        <v>11</v>
      </c>
      <c r="B16" s="64" t="s">
        <v>200</v>
      </c>
      <c r="C16" s="66">
        <v>34</v>
      </c>
      <c r="D16" s="66"/>
      <c r="E16" s="66"/>
      <c r="F16" s="66"/>
      <c r="G16" s="82"/>
      <c r="H16" s="157"/>
      <c r="I16" s="164">
        <f t="shared" si="0"/>
        <v>34</v>
      </c>
    </row>
    <row r="17" spans="1:15" x14ac:dyDescent="0.3">
      <c r="A17" s="124">
        <v>12</v>
      </c>
      <c r="B17" s="64" t="s">
        <v>104</v>
      </c>
      <c r="C17" s="66"/>
      <c r="D17" s="66"/>
      <c r="E17" s="66"/>
      <c r="F17" s="66"/>
      <c r="G17" s="66">
        <v>33</v>
      </c>
      <c r="H17" s="156"/>
      <c r="I17" s="164">
        <f t="shared" si="0"/>
        <v>33</v>
      </c>
    </row>
    <row r="18" spans="1:15" x14ac:dyDescent="0.3">
      <c r="A18" s="131">
        <v>13</v>
      </c>
      <c r="B18" s="64" t="s">
        <v>99</v>
      </c>
      <c r="C18" s="66"/>
      <c r="D18" s="66"/>
      <c r="E18" s="66"/>
      <c r="F18" s="66"/>
      <c r="G18" s="66">
        <v>33</v>
      </c>
      <c r="H18" s="156"/>
      <c r="I18" s="164">
        <f t="shared" si="0"/>
        <v>33</v>
      </c>
    </row>
    <row r="19" spans="1:15" x14ac:dyDescent="0.3">
      <c r="A19" s="124">
        <v>14</v>
      </c>
      <c r="B19" s="64" t="s">
        <v>106</v>
      </c>
      <c r="C19" s="66"/>
      <c r="D19" s="66"/>
      <c r="E19" s="66"/>
      <c r="F19" s="66"/>
      <c r="G19" s="66">
        <v>28</v>
      </c>
      <c r="H19" s="158"/>
      <c r="I19" s="164">
        <f t="shared" si="0"/>
        <v>28</v>
      </c>
    </row>
    <row r="20" spans="1:15" x14ac:dyDescent="0.3">
      <c r="A20" s="131">
        <v>15</v>
      </c>
      <c r="B20" s="64" t="s">
        <v>204</v>
      </c>
      <c r="C20" s="64"/>
      <c r="D20" s="64"/>
      <c r="E20" s="69">
        <v>1</v>
      </c>
      <c r="F20" s="69">
        <v>15</v>
      </c>
      <c r="G20" s="81"/>
      <c r="H20" s="159"/>
      <c r="I20" s="164">
        <f t="shared" si="0"/>
        <v>16</v>
      </c>
    </row>
    <row r="21" spans="1:15" x14ac:dyDescent="0.3">
      <c r="A21" s="124">
        <v>16</v>
      </c>
      <c r="B21" s="64" t="s">
        <v>203</v>
      </c>
      <c r="C21" s="64"/>
      <c r="D21" s="64"/>
      <c r="E21" s="69">
        <v>5</v>
      </c>
      <c r="F21" s="69">
        <v>11</v>
      </c>
      <c r="G21" s="64"/>
      <c r="H21" s="119"/>
      <c r="I21" s="164">
        <f t="shared" si="0"/>
        <v>16</v>
      </c>
    </row>
    <row r="22" spans="1:15" x14ac:dyDescent="0.3">
      <c r="A22" s="131">
        <v>17</v>
      </c>
      <c r="B22" s="64" t="s">
        <v>202</v>
      </c>
      <c r="C22" s="64"/>
      <c r="D22" s="64"/>
      <c r="E22" s="69">
        <v>7</v>
      </c>
      <c r="F22" s="69">
        <v>9</v>
      </c>
      <c r="G22" s="64"/>
      <c r="H22" s="160"/>
      <c r="I22" s="164">
        <f t="shared" si="0"/>
        <v>16</v>
      </c>
    </row>
    <row r="23" spans="1:15" x14ac:dyDescent="0.3">
      <c r="A23" s="124">
        <v>18</v>
      </c>
      <c r="B23" s="64" t="s">
        <v>201</v>
      </c>
      <c r="C23" s="66">
        <v>6</v>
      </c>
      <c r="D23" s="66"/>
      <c r="E23" s="66"/>
      <c r="F23" s="66"/>
      <c r="G23" s="82"/>
      <c r="H23" s="161"/>
      <c r="I23" s="164">
        <f t="shared" si="0"/>
        <v>6</v>
      </c>
      <c r="J23" s="78"/>
      <c r="K23" s="78"/>
      <c r="L23" s="78"/>
      <c r="M23" s="78"/>
      <c r="N23" s="78"/>
    </row>
    <row r="24" spans="1:15" x14ac:dyDescent="0.3">
      <c r="A24" s="131">
        <v>19</v>
      </c>
      <c r="B24" s="64" t="s">
        <v>205</v>
      </c>
      <c r="C24" s="64"/>
      <c r="D24" s="64"/>
      <c r="E24" s="64"/>
      <c r="F24" s="69">
        <v>1</v>
      </c>
      <c r="G24" s="88"/>
      <c r="H24" s="162"/>
      <c r="I24" s="164">
        <f t="shared" si="0"/>
        <v>1</v>
      </c>
      <c r="J24" s="90"/>
      <c r="K24" s="90"/>
      <c r="L24" s="90"/>
      <c r="M24" s="311"/>
      <c r="N24" s="311"/>
    </row>
    <row r="25" spans="1:15" ht="15" thickBot="1" x14ac:dyDescent="0.35">
      <c r="A25" s="126">
        <v>20</v>
      </c>
      <c r="B25" s="127" t="s">
        <v>190</v>
      </c>
      <c r="C25" s="127"/>
      <c r="D25" s="127"/>
      <c r="E25" s="127"/>
      <c r="F25" s="128">
        <v>1</v>
      </c>
      <c r="G25" s="192"/>
      <c r="H25" s="193"/>
      <c r="I25" s="165">
        <f t="shared" si="0"/>
        <v>1</v>
      </c>
      <c r="J25" s="80"/>
      <c r="K25" s="80"/>
      <c r="L25" s="80"/>
      <c r="M25" s="298"/>
      <c r="N25" s="298"/>
    </row>
    <row r="26" spans="1:15" x14ac:dyDescent="0.3">
      <c r="G26" s="79"/>
      <c r="H26" s="79"/>
      <c r="I26" s="79"/>
      <c r="J26" s="80"/>
      <c r="K26" s="80"/>
      <c r="L26" s="80"/>
      <c r="M26" s="80"/>
      <c r="N26" s="298"/>
      <c r="O26" s="298"/>
    </row>
    <row r="27" spans="1:15" x14ac:dyDescent="0.3">
      <c r="G27" s="79"/>
      <c r="H27" s="79"/>
      <c r="I27" s="79"/>
      <c r="J27" s="80"/>
      <c r="K27" s="80"/>
      <c r="L27" s="80"/>
      <c r="M27" s="80"/>
      <c r="N27" s="298"/>
      <c r="O27" s="298"/>
    </row>
    <row r="28" spans="1:15" x14ac:dyDescent="0.3">
      <c r="G28" s="79"/>
      <c r="H28" s="79"/>
      <c r="I28" s="79"/>
      <c r="J28" s="80"/>
      <c r="K28" s="80"/>
      <c r="L28" s="80"/>
      <c r="M28" s="80"/>
      <c r="N28" s="298"/>
      <c r="O28" s="298"/>
    </row>
    <row r="29" spans="1:15" ht="15" thickBot="1" x14ac:dyDescent="0.35">
      <c r="G29" s="79"/>
      <c r="H29" s="79"/>
      <c r="I29" s="79"/>
      <c r="J29" s="80"/>
      <c r="K29" s="80"/>
      <c r="L29" s="80"/>
      <c r="M29" s="80"/>
      <c r="N29" s="298"/>
      <c r="O29" s="298"/>
    </row>
    <row r="30" spans="1:15" ht="15" thickBot="1" x14ac:dyDescent="0.35">
      <c r="A30" s="57" t="s">
        <v>45</v>
      </c>
      <c r="B30" s="262" t="s">
        <v>46</v>
      </c>
      <c r="C30" s="262"/>
      <c r="D30" s="262"/>
      <c r="E30" s="262"/>
      <c r="F30" s="262"/>
      <c r="G30" s="262"/>
      <c r="H30" s="262" t="s">
        <v>74</v>
      </c>
      <c r="I30" s="263"/>
      <c r="J30" s="77"/>
      <c r="K30" s="77"/>
      <c r="L30" s="77"/>
      <c r="M30" s="77"/>
      <c r="N30" s="77"/>
    </row>
    <row r="31" spans="1:15" x14ac:dyDescent="0.3">
      <c r="A31" s="89">
        <v>1</v>
      </c>
      <c r="B31" s="312" t="s">
        <v>47</v>
      </c>
      <c r="C31" s="313"/>
      <c r="D31" s="313"/>
      <c r="E31" s="313"/>
      <c r="F31" s="313"/>
      <c r="G31" s="314"/>
      <c r="H31" s="315" t="s">
        <v>58</v>
      </c>
      <c r="I31" s="316"/>
    </row>
    <row r="32" spans="1:15" x14ac:dyDescent="0.3">
      <c r="A32" s="84">
        <v>2</v>
      </c>
      <c r="B32" s="259" t="s">
        <v>48</v>
      </c>
      <c r="C32" s="260"/>
      <c r="D32" s="260"/>
      <c r="E32" s="260"/>
      <c r="F32" s="260"/>
      <c r="G32" s="261"/>
      <c r="H32" s="255" t="s">
        <v>65</v>
      </c>
      <c r="I32" s="256"/>
    </row>
    <row r="33" spans="1:9" x14ac:dyDescent="0.3">
      <c r="A33" s="85">
        <v>3</v>
      </c>
      <c r="B33" s="259" t="s">
        <v>175</v>
      </c>
      <c r="C33" s="260"/>
      <c r="D33" s="260"/>
      <c r="E33" s="260"/>
      <c r="F33" s="260"/>
      <c r="G33" s="261"/>
      <c r="H33" s="259" t="s">
        <v>176</v>
      </c>
      <c r="I33" s="268"/>
    </row>
    <row r="34" spans="1:9" x14ac:dyDescent="0.3">
      <c r="A34" s="60">
        <v>4</v>
      </c>
      <c r="B34" s="277" t="s">
        <v>49</v>
      </c>
      <c r="C34" s="278"/>
      <c r="D34" s="278"/>
      <c r="E34" s="278"/>
      <c r="F34" s="278"/>
      <c r="G34" s="279"/>
      <c r="H34" s="269" t="s">
        <v>66</v>
      </c>
      <c r="I34" s="270"/>
    </row>
    <row r="35" spans="1:9" x14ac:dyDescent="0.3">
      <c r="A35" s="59">
        <v>5</v>
      </c>
      <c r="B35" s="277" t="s">
        <v>69</v>
      </c>
      <c r="C35" s="278"/>
      <c r="D35" s="278"/>
      <c r="E35" s="278"/>
      <c r="F35" s="278"/>
      <c r="G35" s="279"/>
      <c r="H35" s="269" t="s">
        <v>59</v>
      </c>
      <c r="I35" s="270"/>
    </row>
    <row r="36" spans="1:9" x14ac:dyDescent="0.3">
      <c r="A36" s="60">
        <v>6</v>
      </c>
      <c r="B36" s="277" t="s">
        <v>70</v>
      </c>
      <c r="C36" s="278"/>
      <c r="D36" s="278"/>
      <c r="E36" s="278"/>
      <c r="F36" s="278"/>
      <c r="G36" s="279"/>
      <c r="H36" s="269" t="s">
        <v>67</v>
      </c>
      <c r="I36" s="270"/>
    </row>
    <row r="37" spans="1:9" x14ac:dyDescent="0.3">
      <c r="A37" s="59">
        <v>7</v>
      </c>
      <c r="B37" s="277" t="s">
        <v>50</v>
      </c>
      <c r="C37" s="278"/>
      <c r="D37" s="278"/>
      <c r="E37" s="278"/>
      <c r="F37" s="278"/>
      <c r="G37" s="279"/>
      <c r="H37" s="269" t="s">
        <v>60</v>
      </c>
      <c r="I37" s="270"/>
    </row>
    <row r="38" spans="1:9" x14ac:dyDescent="0.3">
      <c r="A38" s="84">
        <v>8</v>
      </c>
      <c r="B38" s="259" t="s">
        <v>51</v>
      </c>
      <c r="C38" s="260"/>
      <c r="D38" s="260"/>
      <c r="E38" s="260"/>
      <c r="F38" s="260"/>
      <c r="G38" s="261"/>
      <c r="H38" s="255" t="s">
        <v>64</v>
      </c>
      <c r="I38" s="256"/>
    </row>
    <row r="39" spans="1:9" x14ac:dyDescent="0.3">
      <c r="A39" s="59">
        <v>9</v>
      </c>
      <c r="B39" s="277" t="s">
        <v>52</v>
      </c>
      <c r="C39" s="278"/>
      <c r="D39" s="278"/>
      <c r="E39" s="278"/>
      <c r="F39" s="278"/>
      <c r="G39" s="279"/>
      <c r="H39" s="269" t="s">
        <v>61</v>
      </c>
      <c r="I39" s="270"/>
    </row>
    <row r="40" spans="1:9" x14ac:dyDescent="0.3">
      <c r="A40" s="60">
        <v>10</v>
      </c>
      <c r="B40" s="277" t="s">
        <v>62</v>
      </c>
      <c r="C40" s="278"/>
      <c r="D40" s="278"/>
      <c r="E40" s="278"/>
      <c r="F40" s="278"/>
      <c r="G40" s="279"/>
      <c r="H40" s="277" t="s">
        <v>63</v>
      </c>
      <c r="I40" s="310"/>
    </row>
    <row r="41" spans="1:9" x14ac:dyDescent="0.3">
      <c r="A41" s="85">
        <v>11</v>
      </c>
      <c r="B41" s="259" t="s">
        <v>68</v>
      </c>
      <c r="C41" s="260"/>
      <c r="D41" s="260"/>
      <c r="E41" s="260"/>
      <c r="F41" s="260"/>
      <c r="G41" s="261"/>
      <c r="H41" s="255" t="s">
        <v>71</v>
      </c>
      <c r="I41" s="256"/>
    </row>
    <row r="42" spans="1:9" x14ac:dyDescent="0.3">
      <c r="A42" s="84">
        <v>12</v>
      </c>
      <c r="B42" s="259" t="s">
        <v>72</v>
      </c>
      <c r="C42" s="260"/>
      <c r="D42" s="260"/>
      <c r="E42" s="260"/>
      <c r="F42" s="260"/>
      <c r="G42" s="261"/>
      <c r="H42" s="255" t="s">
        <v>73</v>
      </c>
      <c r="I42" s="256"/>
    </row>
    <row r="43" spans="1:9" x14ac:dyDescent="0.3">
      <c r="A43" s="59">
        <v>13</v>
      </c>
      <c r="B43" s="277" t="s">
        <v>53</v>
      </c>
      <c r="C43" s="278"/>
      <c r="D43" s="278"/>
      <c r="E43" s="278"/>
      <c r="F43" s="278"/>
      <c r="G43" s="279"/>
      <c r="H43" s="269" t="s">
        <v>75</v>
      </c>
      <c r="I43" s="270"/>
    </row>
    <row r="44" spans="1:9" x14ac:dyDescent="0.3">
      <c r="A44" s="60">
        <v>14</v>
      </c>
      <c r="B44" s="277" t="s">
        <v>77</v>
      </c>
      <c r="C44" s="278"/>
      <c r="D44" s="278"/>
      <c r="E44" s="278"/>
      <c r="F44" s="278"/>
      <c r="G44" s="279"/>
      <c r="H44" s="269" t="s">
        <v>76</v>
      </c>
      <c r="I44" s="270"/>
    </row>
    <row r="45" spans="1:9" x14ac:dyDescent="0.3">
      <c r="A45" s="59">
        <v>15</v>
      </c>
      <c r="B45" s="277" t="s">
        <v>54</v>
      </c>
      <c r="C45" s="278"/>
      <c r="D45" s="278"/>
      <c r="E45" s="278"/>
      <c r="F45" s="278"/>
      <c r="G45" s="279"/>
      <c r="H45" s="269" t="s">
        <v>78</v>
      </c>
      <c r="I45" s="270"/>
    </row>
    <row r="46" spans="1:9" x14ac:dyDescent="0.3">
      <c r="A46" s="60">
        <v>16</v>
      </c>
      <c r="B46" s="277" t="s">
        <v>79</v>
      </c>
      <c r="C46" s="278"/>
      <c r="D46" s="278"/>
      <c r="E46" s="278"/>
      <c r="F46" s="278"/>
      <c r="G46" s="279"/>
      <c r="H46" s="269" t="s">
        <v>80</v>
      </c>
      <c r="I46" s="270"/>
    </row>
    <row r="47" spans="1:9" x14ac:dyDescent="0.3">
      <c r="A47" s="59">
        <v>17</v>
      </c>
      <c r="B47" s="277" t="s">
        <v>55</v>
      </c>
      <c r="C47" s="278"/>
      <c r="D47" s="278"/>
      <c r="E47" s="278"/>
      <c r="F47" s="278"/>
      <c r="G47" s="279"/>
      <c r="H47" s="269" t="s">
        <v>81</v>
      </c>
      <c r="I47" s="270"/>
    </row>
    <row r="48" spans="1:9" x14ac:dyDescent="0.3">
      <c r="A48" s="60">
        <v>18</v>
      </c>
      <c r="B48" s="277" t="s">
        <v>56</v>
      </c>
      <c r="C48" s="278"/>
      <c r="D48" s="278"/>
      <c r="E48" s="278"/>
      <c r="F48" s="278"/>
      <c r="G48" s="279"/>
      <c r="H48" s="269" t="s">
        <v>82</v>
      </c>
      <c r="I48" s="270"/>
    </row>
    <row r="49" spans="1:9" x14ac:dyDescent="0.3">
      <c r="A49" s="59">
        <v>19</v>
      </c>
      <c r="B49" s="277" t="s">
        <v>57</v>
      </c>
      <c r="C49" s="278"/>
      <c r="D49" s="278"/>
      <c r="E49" s="278"/>
      <c r="F49" s="278"/>
      <c r="G49" s="279"/>
      <c r="H49" s="269" t="s">
        <v>83</v>
      </c>
      <c r="I49" s="270"/>
    </row>
    <row r="50" spans="1:9" x14ac:dyDescent="0.3">
      <c r="A50" s="60">
        <v>20</v>
      </c>
      <c r="B50" s="277" t="s">
        <v>84</v>
      </c>
      <c r="C50" s="278"/>
      <c r="D50" s="278"/>
      <c r="E50" s="278"/>
      <c r="F50" s="278"/>
      <c r="G50" s="279"/>
      <c r="H50" s="269" t="s">
        <v>85</v>
      </c>
      <c r="I50" s="270"/>
    </row>
    <row r="51" spans="1:9" ht="15" thickBot="1" x14ac:dyDescent="0.35">
      <c r="A51" s="59">
        <v>21</v>
      </c>
      <c r="B51" s="277" t="s">
        <v>86</v>
      </c>
      <c r="C51" s="278"/>
      <c r="D51" s="278"/>
      <c r="E51" s="278"/>
      <c r="F51" s="278"/>
      <c r="G51" s="279"/>
      <c r="H51" s="269" t="s">
        <v>87</v>
      </c>
      <c r="I51" s="270"/>
    </row>
    <row r="52" spans="1:9" ht="15" thickBot="1" x14ac:dyDescent="0.35">
      <c r="A52" s="180"/>
      <c r="B52" s="299" t="s">
        <v>248</v>
      </c>
      <c r="C52" s="299"/>
      <c r="D52" s="299"/>
      <c r="E52" s="299"/>
      <c r="F52" s="299"/>
      <c r="G52" s="299"/>
      <c r="H52" s="299" t="s">
        <v>74</v>
      </c>
      <c r="I52" s="300"/>
    </row>
    <row r="53" spans="1:9" ht="15" thickBot="1" x14ac:dyDescent="0.35">
      <c r="A53" s="194">
        <v>1</v>
      </c>
      <c r="B53" s="293" t="s">
        <v>373</v>
      </c>
      <c r="C53" s="294"/>
      <c r="D53" s="294"/>
      <c r="E53" s="294"/>
      <c r="F53" s="294"/>
      <c r="G53" s="295"/>
      <c r="H53" s="296" t="s">
        <v>374</v>
      </c>
      <c r="I53" s="297"/>
    </row>
  </sheetData>
  <sortState ref="B6:I25">
    <sortCondition descending="1" ref="I6:I25"/>
  </sortState>
  <mergeCells count="55">
    <mergeCell ref="M25:N25"/>
    <mergeCell ref="M24:N24"/>
    <mergeCell ref="H36:I36"/>
    <mergeCell ref="B37:G37"/>
    <mergeCell ref="H37:I37"/>
    <mergeCell ref="B33:G33"/>
    <mergeCell ref="H33:I33"/>
    <mergeCell ref="B34:G34"/>
    <mergeCell ref="H34:I34"/>
    <mergeCell ref="B35:G35"/>
    <mergeCell ref="H35:I35"/>
    <mergeCell ref="B30:G30"/>
    <mergeCell ref="H30:I30"/>
    <mergeCell ref="B31:G31"/>
    <mergeCell ref="H31:I31"/>
    <mergeCell ref="N26:O26"/>
    <mergeCell ref="A1:I4"/>
    <mergeCell ref="H39:I39"/>
    <mergeCell ref="B40:G40"/>
    <mergeCell ref="H40:I40"/>
    <mergeCell ref="B41:G41"/>
    <mergeCell ref="H41:I41"/>
    <mergeCell ref="B32:G32"/>
    <mergeCell ref="H32:I32"/>
    <mergeCell ref="B36:G36"/>
    <mergeCell ref="B38:G38"/>
    <mergeCell ref="H38:I38"/>
    <mergeCell ref="B39:G39"/>
    <mergeCell ref="N27:O27"/>
    <mergeCell ref="N28:O28"/>
    <mergeCell ref="N29:O29"/>
    <mergeCell ref="B52:G52"/>
    <mergeCell ref="H52:I52"/>
    <mergeCell ref="B42:G42"/>
    <mergeCell ref="H42:I42"/>
    <mergeCell ref="B43:G43"/>
    <mergeCell ref="H43:I43"/>
    <mergeCell ref="B49:G49"/>
    <mergeCell ref="B45:G45"/>
    <mergeCell ref="H45:I45"/>
    <mergeCell ref="B46:G46"/>
    <mergeCell ref="H46:I46"/>
    <mergeCell ref="B47:G47"/>
    <mergeCell ref="H47:I47"/>
    <mergeCell ref="B53:G53"/>
    <mergeCell ref="B44:G44"/>
    <mergeCell ref="H44:I44"/>
    <mergeCell ref="B50:G50"/>
    <mergeCell ref="H50:I50"/>
    <mergeCell ref="H53:I53"/>
    <mergeCell ref="B51:G51"/>
    <mergeCell ref="H51:I51"/>
    <mergeCell ref="B48:G48"/>
    <mergeCell ref="H48:I48"/>
    <mergeCell ref="H49:I49"/>
  </mergeCells>
  <conditionalFormatting sqref="B5:F5">
    <cfRule type="duplicateValues" dxfId="1" priority="2"/>
  </conditionalFormatting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workbookViewId="0">
      <selection activeCell="I17" sqref="I17"/>
    </sheetView>
  </sheetViews>
  <sheetFormatPr defaultRowHeight="14.4" x14ac:dyDescent="0.3"/>
  <cols>
    <col min="2" max="2" width="21.5546875" customWidth="1"/>
    <col min="3" max="6" width="8.33203125" customWidth="1"/>
  </cols>
  <sheetData>
    <row r="1" spans="1:14" ht="14.4" customHeight="1" x14ac:dyDescent="0.3">
      <c r="A1" s="280" t="s">
        <v>95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</row>
    <row r="2" spans="1:14" ht="25.2" customHeight="1" thickBot="1" x14ac:dyDescent="0.35">
      <c r="A2" s="283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</row>
    <row r="3" spans="1:14" ht="15" thickBot="1" x14ac:dyDescent="0.35">
      <c r="A3" s="58" t="s">
        <v>89</v>
      </c>
      <c r="B3" s="61" t="s">
        <v>90</v>
      </c>
      <c r="C3" s="92">
        <v>1</v>
      </c>
      <c r="D3" s="92">
        <v>2</v>
      </c>
      <c r="E3" s="92">
        <v>7</v>
      </c>
      <c r="F3" s="92">
        <v>9</v>
      </c>
      <c r="G3" s="62">
        <v>12</v>
      </c>
      <c r="H3" s="62">
        <v>13</v>
      </c>
      <c r="I3" s="62">
        <v>15</v>
      </c>
      <c r="J3" s="62">
        <v>19</v>
      </c>
      <c r="K3" s="68">
        <v>20</v>
      </c>
      <c r="L3" s="68">
        <v>21</v>
      </c>
      <c r="M3" s="120">
        <v>1</v>
      </c>
      <c r="N3" s="166" t="s">
        <v>91</v>
      </c>
    </row>
    <row r="4" spans="1:14" x14ac:dyDescent="0.3">
      <c r="A4" s="131">
        <v>1</v>
      </c>
      <c r="B4" s="97" t="s">
        <v>111</v>
      </c>
      <c r="C4" s="87">
        <v>4</v>
      </c>
      <c r="D4" s="87">
        <v>50</v>
      </c>
      <c r="E4" s="87">
        <v>15</v>
      </c>
      <c r="F4" s="87">
        <v>31</v>
      </c>
      <c r="G4" s="65">
        <v>74</v>
      </c>
      <c r="H4" s="65"/>
      <c r="I4" s="65"/>
      <c r="J4" s="65"/>
      <c r="K4" s="65">
        <v>8</v>
      </c>
      <c r="L4" s="65">
        <v>15</v>
      </c>
      <c r="M4" s="155"/>
      <c r="N4" s="164">
        <f t="shared" ref="N4:N47" si="0">SUM(C4:M4)</f>
        <v>197</v>
      </c>
    </row>
    <row r="5" spans="1:14" x14ac:dyDescent="0.3">
      <c r="A5" s="124">
        <v>2</v>
      </c>
      <c r="B5" s="64" t="s">
        <v>110</v>
      </c>
      <c r="C5" s="69"/>
      <c r="D5" s="69">
        <v>70</v>
      </c>
      <c r="E5" s="69"/>
      <c r="F5" s="69"/>
      <c r="G5" s="66">
        <v>108</v>
      </c>
      <c r="H5" s="66"/>
      <c r="I5" s="66">
        <v>11</v>
      </c>
      <c r="J5" s="66"/>
      <c r="K5" s="66"/>
      <c r="L5" s="65"/>
      <c r="M5" s="155"/>
      <c r="N5" s="164">
        <f t="shared" si="0"/>
        <v>189</v>
      </c>
    </row>
    <row r="6" spans="1:14" x14ac:dyDescent="0.3">
      <c r="A6" s="131">
        <v>3</v>
      </c>
      <c r="B6" s="64" t="s">
        <v>112</v>
      </c>
      <c r="C6" s="69"/>
      <c r="D6" s="69">
        <v>35</v>
      </c>
      <c r="E6" s="69"/>
      <c r="F6" s="69"/>
      <c r="G6" s="66">
        <v>66</v>
      </c>
      <c r="H6" s="66">
        <v>10</v>
      </c>
      <c r="I6" s="66"/>
      <c r="J6" s="66">
        <v>5</v>
      </c>
      <c r="K6" s="66"/>
      <c r="L6" s="65">
        <v>26</v>
      </c>
      <c r="M6" s="155"/>
      <c r="N6" s="164">
        <f t="shared" si="0"/>
        <v>142</v>
      </c>
    </row>
    <row r="7" spans="1:14" x14ac:dyDescent="0.3">
      <c r="A7" s="124">
        <v>4</v>
      </c>
      <c r="B7" s="64" t="s">
        <v>115</v>
      </c>
      <c r="C7" s="69"/>
      <c r="D7" s="69"/>
      <c r="E7" s="69">
        <v>2</v>
      </c>
      <c r="F7" s="69">
        <v>34</v>
      </c>
      <c r="G7" s="66">
        <v>87</v>
      </c>
      <c r="H7" s="66"/>
      <c r="I7" s="66"/>
      <c r="J7" s="66"/>
      <c r="K7" s="66"/>
      <c r="L7" s="65"/>
      <c r="M7" s="155"/>
      <c r="N7" s="164">
        <f t="shared" si="0"/>
        <v>123</v>
      </c>
    </row>
    <row r="8" spans="1:14" x14ac:dyDescent="0.3">
      <c r="A8" s="131">
        <v>5</v>
      </c>
      <c r="B8" s="64" t="s">
        <v>177</v>
      </c>
      <c r="C8" s="69"/>
      <c r="D8" s="69">
        <v>74</v>
      </c>
      <c r="E8" s="69"/>
      <c r="F8" s="69">
        <v>21</v>
      </c>
      <c r="G8" s="69"/>
      <c r="H8" s="69"/>
      <c r="I8" s="69"/>
      <c r="J8" s="69"/>
      <c r="K8" s="69"/>
      <c r="L8" s="87"/>
      <c r="M8" s="151">
        <v>20</v>
      </c>
      <c r="N8" s="164">
        <f t="shared" si="0"/>
        <v>115</v>
      </c>
    </row>
    <row r="9" spans="1:14" x14ac:dyDescent="0.3">
      <c r="A9" s="124">
        <v>6</v>
      </c>
      <c r="B9" s="64" t="s">
        <v>114</v>
      </c>
      <c r="C9" s="69"/>
      <c r="D9" s="69"/>
      <c r="E9" s="69">
        <v>25</v>
      </c>
      <c r="F9" s="69"/>
      <c r="G9" s="66">
        <v>30</v>
      </c>
      <c r="H9" s="66"/>
      <c r="I9" s="66">
        <v>8</v>
      </c>
      <c r="J9" s="66">
        <v>11</v>
      </c>
      <c r="K9" s="66">
        <v>22</v>
      </c>
      <c r="L9" s="65">
        <v>5</v>
      </c>
      <c r="M9" s="155"/>
      <c r="N9" s="164">
        <f t="shared" si="0"/>
        <v>101</v>
      </c>
    </row>
    <row r="10" spans="1:14" x14ac:dyDescent="0.3">
      <c r="A10" s="131">
        <v>7</v>
      </c>
      <c r="B10" s="64" t="s">
        <v>242</v>
      </c>
      <c r="C10" s="69"/>
      <c r="D10" s="69"/>
      <c r="E10" s="69">
        <v>12</v>
      </c>
      <c r="F10" s="69">
        <v>35</v>
      </c>
      <c r="G10" s="69"/>
      <c r="H10" s="69">
        <v>34</v>
      </c>
      <c r="I10" s="69"/>
      <c r="J10" s="69"/>
      <c r="K10" s="69"/>
      <c r="L10" s="87">
        <v>18</v>
      </c>
      <c r="M10" s="151"/>
      <c r="N10" s="164">
        <f t="shared" si="0"/>
        <v>99</v>
      </c>
    </row>
    <row r="11" spans="1:14" x14ac:dyDescent="0.3">
      <c r="A11" s="124">
        <v>8</v>
      </c>
      <c r="B11" s="64" t="s">
        <v>125</v>
      </c>
      <c r="C11" s="69"/>
      <c r="D11" s="69"/>
      <c r="E11" s="69">
        <v>19</v>
      </c>
      <c r="F11" s="69"/>
      <c r="G11" s="66">
        <v>24</v>
      </c>
      <c r="H11" s="66"/>
      <c r="I11" s="66">
        <v>4</v>
      </c>
      <c r="J11" s="66">
        <v>13</v>
      </c>
      <c r="K11" s="66">
        <v>25</v>
      </c>
      <c r="L11" s="65">
        <v>9</v>
      </c>
      <c r="M11" s="155"/>
      <c r="N11" s="164">
        <f t="shared" si="0"/>
        <v>94</v>
      </c>
    </row>
    <row r="12" spans="1:14" x14ac:dyDescent="0.3">
      <c r="A12" s="131">
        <v>9</v>
      </c>
      <c r="B12" s="64" t="s">
        <v>231</v>
      </c>
      <c r="C12" s="69"/>
      <c r="D12" s="69">
        <v>38</v>
      </c>
      <c r="E12" s="69"/>
      <c r="F12" s="69"/>
      <c r="G12" s="69"/>
      <c r="H12" s="69">
        <v>9</v>
      </c>
      <c r="I12" s="69"/>
      <c r="J12" s="69">
        <v>15</v>
      </c>
      <c r="K12" s="69">
        <v>27</v>
      </c>
      <c r="L12" s="87"/>
      <c r="M12" s="151"/>
      <c r="N12" s="164">
        <f t="shared" si="0"/>
        <v>89</v>
      </c>
    </row>
    <row r="13" spans="1:14" x14ac:dyDescent="0.3">
      <c r="A13" s="124">
        <v>10</v>
      </c>
      <c r="B13" s="64" t="s">
        <v>182</v>
      </c>
      <c r="C13" s="69">
        <v>10</v>
      </c>
      <c r="D13" s="69">
        <v>68</v>
      </c>
      <c r="E13" s="69"/>
      <c r="F13" s="69">
        <v>6</v>
      </c>
      <c r="G13" s="69"/>
      <c r="H13" s="69"/>
      <c r="I13" s="69"/>
      <c r="J13" s="69"/>
      <c r="K13" s="69"/>
      <c r="L13" s="87"/>
      <c r="M13" s="151"/>
      <c r="N13" s="164">
        <f t="shared" si="0"/>
        <v>84</v>
      </c>
    </row>
    <row r="14" spans="1:14" x14ac:dyDescent="0.3">
      <c r="A14" s="131">
        <v>11</v>
      </c>
      <c r="B14" s="64" t="s">
        <v>113</v>
      </c>
      <c r="C14" s="69"/>
      <c r="D14" s="69">
        <v>20</v>
      </c>
      <c r="E14" s="69">
        <v>6</v>
      </c>
      <c r="F14" s="69"/>
      <c r="G14" s="66">
        <v>50</v>
      </c>
      <c r="H14" s="66"/>
      <c r="I14" s="66"/>
      <c r="J14" s="66"/>
      <c r="K14" s="66"/>
      <c r="L14" s="65"/>
      <c r="M14" s="155"/>
      <c r="N14" s="164">
        <f t="shared" si="0"/>
        <v>76</v>
      </c>
    </row>
    <row r="15" spans="1:14" x14ac:dyDescent="0.3">
      <c r="A15" s="124">
        <v>12</v>
      </c>
      <c r="B15" s="64" t="s">
        <v>230</v>
      </c>
      <c r="C15" s="69"/>
      <c r="D15" s="69">
        <v>70</v>
      </c>
      <c r="E15" s="69"/>
      <c r="F15" s="69"/>
      <c r="G15" s="69"/>
      <c r="H15" s="69"/>
      <c r="I15" s="69"/>
      <c r="J15" s="69"/>
      <c r="K15" s="69"/>
      <c r="L15" s="87"/>
      <c r="M15" s="151"/>
      <c r="N15" s="164">
        <f t="shared" si="0"/>
        <v>70</v>
      </c>
    </row>
    <row r="16" spans="1:14" x14ac:dyDescent="0.3">
      <c r="A16" s="131">
        <v>13</v>
      </c>
      <c r="B16" s="64" t="s">
        <v>109</v>
      </c>
      <c r="C16" s="69"/>
      <c r="D16" s="69"/>
      <c r="E16" s="69"/>
      <c r="F16" s="69">
        <v>4</v>
      </c>
      <c r="G16" s="66">
        <v>44</v>
      </c>
      <c r="H16" s="66">
        <v>2</v>
      </c>
      <c r="I16" s="66"/>
      <c r="J16" s="66">
        <v>10</v>
      </c>
      <c r="K16" s="66"/>
      <c r="L16" s="65">
        <v>2</v>
      </c>
      <c r="M16" s="155"/>
      <c r="N16" s="164">
        <f t="shared" si="0"/>
        <v>62</v>
      </c>
    </row>
    <row r="17" spans="1:28" x14ac:dyDescent="0.3">
      <c r="A17" s="124">
        <v>14</v>
      </c>
      <c r="B17" s="64" t="s">
        <v>105</v>
      </c>
      <c r="C17" s="69"/>
      <c r="D17" s="69">
        <v>48</v>
      </c>
      <c r="E17" s="69">
        <v>11</v>
      </c>
      <c r="F17" s="69"/>
      <c r="G17" s="69"/>
      <c r="H17" s="69"/>
      <c r="I17" s="69"/>
      <c r="J17" s="69"/>
      <c r="K17" s="69"/>
      <c r="L17" s="87"/>
      <c r="M17" s="151"/>
      <c r="N17" s="164">
        <f t="shared" si="0"/>
        <v>59</v>
      </c>
    </row>
    <row r="18" spans="1:28" x14ac:dyDescent="0.3">
      <c r="A18" s="131">
        <v>15</v>
      </c>
      <c r="B18" s="64" t="s">
        <v>116</v>
      </c>
      <c r="C18" s="69"/>
      <c r="D18" s="69"/>
      <c r="E18" s="69"/>
      <c r="F18" s="69"/>
      <c r="G18" s="66">
        <v>43</v>
      </c>
      <c r="H18" s="66">
        <v>7</v>
      </c>
      <c r="I18" s="66">
        <v>2</v>
      </c>
      <c r="J18" s="66"/>
      <c r="K18" s="66"/>
      <c r="L18" s="65"/>
      <c r="M18" s="155"/>
      <c r="N18" s="164">
        <f t="shared" si="0"/>
        <v>52</v>
      </c>
    </row>
    <row r="19" spans="1:28" x14ac:dyDescent="0.3">
      <c r="A19" s="124">
        <v>16</v>
      </c>
      <c r="B19" s="64" t="s">
        <v>119</v>
      </c>
      <c r="C19" s="69"/>
      <c r="D19" s="69"/>
      <c r="E19" s="69">
        <v>15</v>
      </c>
      <c r="F19" s="69"/>
      <c r="G19" s="66">
        <v>36</v>
      </c>
      <c r="H19" s="66"/>
      <c r="I19" s="66"/>
      <c r="J19" s="66"/>
      <c r="K19" s="66"/>
      <c r="L19" s="65"/>
      <c r="M19" s="155"/>
      <c r="N19" s="164">
        <f t="shared" si="0"/>
        <v>51</v>
      </c>
    </row>
    <row r="20" spans="1:28" x14ac:dyDescent="0.3">
      <c r="A20" s="131">
        <v>17</v>
      </c>
      <c r="B20" s="64" t="s">
        <v>121</v>
      </c>
      <c r="C20" s="69"/>
      <c r="D20" s="69"/>
      <c r="E20" s="69"/>
      <c r="F20" s="69"/>
      <c r="G20" s="66">
        <v>43</v>
      </c>
      <c r="H20" s="66"/>
      <c r="I20" s="66"/>
      <c r="J20" s="66"/>
      <c r="K20" s="66"/>
      <c r="L20" s="66"/>
      <c r="M20" s="155"/>
      <c r="N20" s="164">
        <f t="shared" si="0"/>
        <v>43</v>
      </c>
    </row>
    <row r="21" spans="1:28" x14ac:dyDescent="0.3">
      <c r="A21" s="124">
        <v>18</v>
      </c>
      <c r="B21" s="64" t="s">
        <v>243</v>
      </c>
      <c r="C21" s="69"/>
      <c r="D21" s="69"/>
      <c r="E21" s="69"/>
      <c r="F21" s="69">
        <v>41</v>
      </c>
      <c r="G21" s="69"/>
      <c r="H21" s="115"/>
      <c r="I21" s="69"/>
      <c r="J21" s="69"/>
      <c r="K21" s="69"/>
      <c r="L21" s="69"/>
      <c r="M21" s="151"/>
      <c r="N21" s="164">
        <f t="shared" si="0"/>
        <v>41</v>
      </c>
    </row>
    <row r="22" spans="1:28" x14ac:dyDescent="0.3">
      <c r="A22" s="131">
        <v>19</v>
      </c>
      <c r="B22" s="64" t="s">
        <v>126</v>
      </c>
      <c r="C22" s="69"/>
      <c r="D22" s="69"/>
      <c r="E22" s="69"/>
      <c r="F22" s="69"/>
      <c r="G22" s="66">
        <v>40</v>
      </c>
      <c r="H22" s="66"/>
      <c r="I22" s="66"/>
      <c r="J22" s="66"/>
      <c r="K22" s="66"/>
      <c r="L22" s="66"/>
      <c r="M22" s="155"/>
      <c r="N22" s="164">
        <f t="shared" si="0"/>
        <v>40</v>
      </c>
    </row>
    <row r="23" spans="1:28" x14ac:dyDescent="0.3">
      <c r="A23" s="124">
        <v>20</v>
      </c>
      <c r="B23" s="64" t="s">
        <v>122</v>
      </c>
      <c r="C23" s="69"/>
      <c r="D23" s="69"/>
      <c r="E23" s="69">
        <v>2</v>
      </c>
      <c r="F23" s="69"/>
      <c r="G23" s="66">
        <v>34</v>
      </c>
      <c r="H23" s="66"/>
      <c r="I23" s="66"/>
      <c r="J23" s="66"/>
      <c r="K23" s="66">
        <v>1</v>
      </c>
      <c r="L23" s="66"/>
      <c r="M23" s="155"/>
      <c r="N23" s="164">
        <f t="shared" si="0"/>
        <v>37</v>
      </c>
    </row>
    <row r="24" spans="1:28" ht="15" thickBot="1" x14ac:dyDescent="0.35">
      <c r="A24" s="131">
        <v>21</v>
      </c>
      <c r="B24" s="64" t="s">
        <v>117</v>
      </c>
      <c r="C24" s="69"/>
      <c r="D24" s="69"/>
      <c r="E24" s="69"/>
      <c r="F24" s="69"/>
      <c r="G24" s="66">
        <v>35</v>
      </c>
      <c r="H24" s="66"/>
      <c r="I24" s="66"/>
      <c r="J24" s="66"/>
      <c r="K24" s="66"/>
      <c r="L24" s="66"/>
      <c r="M24" s="155"/>
      <c r="N24" s="164">
        <f t="shared" si="0"/>
        <v>35</v>
      </c>
    </row>
    <row r="25" spans="1:28" ht="15" thickBot="1" x14ac:dyDescent="0.35">
      <c r="A25" s="124">
        <v>22</v>
      </c>
      <c r="B25" s="64" t="s">
        <v>232</v>
      </c>
      <c r="C25" s="69"/>
      <c r="D25" s="69">
        <v>35</v>
      </c>
      <c r="E25" s="69"/>
      <c r="F25" s="69"/>
      <c r="G25" s="69"/>
      <c r="H25" s="69"/>
      <c r="I25" s="69"/>
      <c r="J25" s="69"/>
      <c r="K25" s="69"/>
      <c r="L25" s="69"/>
      <c r="M25" s="151"/>
      <c r="N25" s="164">
        <f t="shared" si="0"/>
        <v>35</v>
      </c>
      <c r="S25" s="122"/>
      <c r="T25" s="57" t="s">
        <v>45</v>
      </c>
      <c r="U25" s="262" t="s">
        <v>46</v>
      </c>
      <c r="V25" s="262"/>
      <c r="W25" s="262"/>
      <c r="X25" s="262"/>
      <c r="Y25" s="262"/>
      <c r="Z25" s="262"/>
      <c r="AA25" s="262" t="s">
        <v>74</v>
      </c>
      <c r="AB25" s="263"/>
    </row>
    <row r="26" spans="1:28" x14ac:dyDescent="0.3">
      <c r="A26" s="131">
        <v>23</v>
      </c>
      <c r="B26" s="64" t="s">
        <v>127</v>
      </c>
      <c r="C26" s="69"/>
      <c r="D26" s="69">
        <v>10</v>
      </c>
      <c r="E26" s="69"/>
      <c r="F26" s="69"/>
      <c r="G26" s="66">
        <v>18</v>
      </c>
      <c r="H26" s="66"/>
      <c r="I26" s="66">
        <v>6</v>
      </c>
      <c r="J26" s="66"/>
      <c r="K26" s="66"/>
      <c r="L26" s="66"/>
      <c r="M26" s="155"/>
      <c r="N26" s="164">
        <f t="shared" si="0"/>
        <v>34</v>
      </c>
      <c r="S26" s="122"/>
      <c r="T26" s="85">
        <v>1</v>
      </c>
      <c r="U26" s="271" t="s">
        <v>47</v>
      </c>
      <c r="V26" s="272"/>
      <c r="W26" s="272"/>
      <c r="X26" s="272"/>
      <c r="Y26" s="272"/>
      <c r="Z26" s="273"/>
      <c r="AA26" s="264" t="s">
        <v>58</v>
      </c>
      <c r="AB26" s="265"/>
    </row>
    <row r="27" spans="1:28" x14ac:dyDescent="0.3">
      <c r="A27" s="124">
        <v>24</v>
      </c>
      <c r="B27" s="64" t="s">
        <v>108</v>
      </c>
      <c r="C27" s="69"/>
      <c r="D27" s="69">
        <v>18</v>
      </c>
      <c r="E27" s="69">
        <v>13</v>
      </c>
      <c r="F27" s="69"/>
      <c r="G27" s="69"/>
      <c r="H27" s="69"/>
      <c r="I27" s="69"/>
      <c r="J27" s="69"/>
      <c r="K27" s="69"/>
      <c r="L27" s="69"/>
      <c r="M27" s="151"/>
      <c r="N27" s="164">
        <f t="shared" si="0"/>
        <v>31</v>
      </c>
      <c r="S27" s="122"/>
      <c r="T27" s="84">
        <v>2</v>
      </c>
      <c r="U27" s="259" t="s">
        <v>48</v>
      </c>
      <c r="V27" s="260"/>
      <c r="W27" s="260"/>
      <c r="X27" s="260"/>
      <c r="Y27" s="260"/>
      <c r="Z27" s="261"/>
      <c r="AA27" s="255" t="s">
        <v>65</v>
      </c>
      <c r="AB27" s="256"/>
    </row>
    <row r="28" spans="1:28" x14ac:dyDescent="0.3">
      <c r="A28" s="131">
        <v>25</v>
      </c>
      <c r="B28" s="64" t="s">
        <v>96</v>
      </c>
      <c r="C28" s="69"/>
      <c r="D28" s="69">
        <v>24</v>
      </c>
      <c r="E28" s="69">
        <v>4</v>
      </c>
      <c r="F28" s="69"/>
      <c r="G28" s="69"/>
      <c r="H28" s="69"/>
      <c r="I28" s="69"/>
      <c r="J28" s="69"/>
      <c r="K28" s="69"/>
      <c r="L28" s="69"/>
      <c r="M28" s="151"/>
      <c r="N28" s="164">
        <f t="shared" si="0"/>
        <v>28</v>
      </c>
      <c r="S28" s="122"/>
      <c r="T28" s="59">
        <v>3</v>
      </c>
      <c r="U28" s="277" t="s">
        <v>175</v>
      </c>
      <c r="V28" s="278"/>
      <c r="W28" s="278"/>
      <c r="X28" s="278"/>
      <c r="Y28" s="278"/>
      <c r="Z28" s="279"/>
      <c r="AA28" s="277" t="s">
        <v>176</v>
      </c>
      <c r="AB28" s="310"/>
    </row>
    <row r="29" spans="1:28" x14ac:dyDescent="0.3">
      <c r="A29" s="124">
        <v>26</v>
      </c>
      <c r="B29" s="64" t="s">
        <v>233</v>
      </c>
      <c r="C29" s="69"/>
      <c r="D29" s="69"/>
      <c r="E29" s="69">
        <v>20</v>
      </c>
      <c r="F29" s="69"/>
      <c r="G29" s="69"/>
      <c r="H29" s="69"/>
      <c r="I29" s="69"/>
      <c r="J29" s="69"/>
      <c r="K29" s="69"/>
      <c r="L29" s="69"/>
      <c r="M29" s="151"/>
      <c r="N29" s="164">
        <f t="shared" si="0"/>
        <v>20</v>
      </c>
      <c r="S29" s="122"/>
      <c r="T29" s="60">
        <v>4</v>
      </c>
      <c r="U29" s="277" t="s">
        <v>49</v>
      </c>
      <c r="V29" s="278"/>
      <c r="W29" s="278"/>
      <c r="X29" s="278"/>
      <c r="Y29" s="278"/>
      <c r="Z29" s="279"/>
      <c r="AA29" s="269" t="s">
        <v>66</v>
      </c>
      <c r="AB29" s="270"/>
    </row>
    <row r="30" spans="1:28" x14ac:dyDescent="0.3">
      <c r="A30" s="131">
        <v>27</v>
      </c>
      <c r="B30" s="64" t="s">
        <v>123</v>
      </c>
      <c r="C30" s="69"/>
      <c r="D30" s="69"/>
      <c r="E30" s="69"/>
      <c r="F30" s="69"/>
      <c r="G30" s="66">
        <v>17</v>
      </c>
      <c r="H30" s="66"/>
      <c r="I30" s="66"/>
      <c r="J30" s="66"/>
      <c r="K30" s="66"/>
      <c r="L30" s="66"/>
      <c r="M30" s="155"/>
      <c r="N30" s="164">
        <f t="shared" si="0"/>
        <v>17</v>
      </c>
      <c r="S30" s="135"/>
      <c r="T30" s="59">
        <v>5</v>
      </c>
      <c r="U30" s="277" t="s">
        <v>69</v>
      </c>
      <c r="V30" s="278"/>
      <c r="W30" s="278"/>
      <c r="X30" s="278"/>
      <c r="Y30" s="278"/>
      <c r="Z30" s="279"/>
      <c r="AA30" s="269" t="s">
        <v>59</v>
      </c>
      <c r="AB30" s="270"/>
    </row>
    <row r="31" spans="1:28" x14ac:dyDescent="0.3">
      <c r="A31" s="124">
        <v>28</v>
      </c>
      <c r="B31" s="64" t="s">
        <v>236</v>
      </c>
      <c r="C31" s="69"/>
      <c r="D31" s="69"/>
      <c r="E31" s="115">
        <v>17</v>
      </c>
      <c r="F31" s="115"/>
      <c r="G31" s="69"/>
      <c r="H31" s="69"/>
      <c r="I31" s="69"/>
      <c r="J31" s="69"/>
      <c r="K31" s="69"/>
      <c r="L31" s="69"/>
      <c r="M31" s="151"/>
      <c r="N31" s="164">
        <f t="shared" si="0"/>
        <v>17</v>
      </c>
      <c r="S31" s="135"/>
      <c r="T31" s="60">
        <v>6</v>
      </c>
      <c r="U31" s="277" t="s">
        <v>70</v>
      </c>
      <c r="V31" s="278"/>
      <c r="W31" s="278"/>
      <c r="X31" s="278"/>
      <c r="Y31" s="278"/>
      <c r="Z31" s="279"/>
      <c r="AA31" s="269" t="s">
        <v>67</v>
      </c>
      <c r="AB31" s="270"/>
    </row>
    <row r="32" spans="1:28" x14ac:dyDescent="0.3">
      <c r="A32" s="131">
        <v>29</v>
      </c>
      <c r="B32" s="64" t="s">
        <v>244</v>
      </c>
      <c r="C32" s="69"/>
      <c r="D32" s="69"/>
      <c r="E32" s="69"/>
      <c r="F32" s="69"/>
      <c r="G32" s="69"/>
      <c r="H32" s="115">
        <v>16</v>
      </c>
      <c r="I32" s="69"/>
      <c r="J32" s="69"/>
      <c r="K32" s="69"/>
      <c r="L32" s="69"/>
      <c r="M32" s="151"/>
      <c r="N32" s="164">
        <f t="shared" si="0"/>
        <v>16</v>
      </c>
      <c r="S32" s="122"/>
      <c r="T32" s="85">
        <v>7</v>
      </c>
      <c r="U32" s="259" t="s">
        <v>50</v>
      </c>
      <c r="V32" s="260"/>
      <c r="W32" s="260"/>
      <c r="X32" s="260"/>
      <c r="Y32" s="260"/>
      <c r="Z32" s="261"/>
      <c r="AA32" s="255" t="s">
        <v>60</v>
      </c>
      <c r="AB32" s="256"/>
    </row>
    <row r="33" spans="1:28" x14ac:dyDescent="0.3">
      <c r="A33" s="124">
        <v>30</v>
      </c>
      <c r="B33" s="81" t="s">
        <v>246</v>
      </c>
      <c r="C33" s="69"/>
      <c r="D33" s="69"/>
      <c r="E33" s="69"/>
      <c r="F33" s="69"/>
      <c r="G33" s="69"/>
      <c r="H33" s="69"/>
      <c r="I33" s="69">
        <v>3</v>
      </c>
      <c r="J33" s="69"/>
      <c r="K33" s="69">
        <v>9</v>
      </c>
      <c r="L33" s="69">
        <v>4</v>
      </c>
      <c r="M33" s="151"/>
      <c r="N33" s="164">
        <f t="shared" si="0"/>
        <v>16</v>
      </c>
      <c r="S33" s="122"/>
      <c r="T33" s="60">
        <v>8</v>
      </c>
      <c r="U33" s="277" t="s">
        <v>51</v>
      </c>
      <c r="V33" s="278"/>
      <c r="W33" s="278"/>
      <c r="X33" s="278"/>
      <c r="Y33" s="278"/>
      <c r="Z33" s="279"/>
      <c r="AA33" s="269" t="s">
        <v>64</v>
      </c>
      <c r="AB33" s="270"/>
    </row>
    <row r="34" spans="1:28" x14ac:dyDescent="0.3">
      <c r="A34" s="131">
        <v>31</v>
      </c>
      <c r="B34" s="117" t="s">
        <v>299</v>
      </c>
      <c r="C34" s="96"/>
      <c r="D34" s="96"/>
      <c r="E34" s="118"/>
      <c r="F34" s="118"/>
      <c r="G34" s="96"/>
      <c r="H34" s="96"/>
      <c r="I34" s="96"/>
      <c r="J34" s="69"/>
      <c r="K34" s="69"/>
      <c r="L34" s="69">
        <v>15</v>
      </c>
      <c r="M34" s="151"/>
      <c r="N34" s="164">
        <f t="shared" si="0"/>
        <v>15</v>
      </c>
      <c r="S34" s="122"/>
      <c r="T34" s="85">
        <v>9</v>
      </c>
      <c r="U34" s="259" t="s">
        <v>52</v>
      </c>
      <c r="V34" s="260"/>
      <c r="W34" s="260"/>
      <c r="X34" s="260"/>
      <c r="Y34" s="260"/>
      <c r="Z34" s="261"/>
      <c r="AA34" s="255" t="s">
        <v>61</v>
      </c>
      <c r="AB34" s="256"/>
    </row>
    <row r="35" spans="1:28" x14ac:dyDescent="0.3">
      <c r="A35" s="124">
        <v>32</v>
      </c>
      <c r="B35" s="64" t="s">
        <v>120</v>
      </c>
      <c r="C35" s="69"/>
      <c r="D35" s="69"/>
      <c r="E35" s="69">
        <v>8</v>
      </c>
      <c r="F35" s="69"/>
      <c r="G35" s="66">
        <v>7</v>
      </c>
      <c r="H35" s="118"/>
      <c r="I35" s="118"/>
      <c r="J35" s="66"/>
      <c r="K35" s="66"/>
      <c r="L35" s="66"/>
      <c r="M35" s="155"/>
      <c r="N35" s="164">
        <f t="shared" si="0"/>
        <v>15</v>
      </c>
      <c r="S35" s="122"/>
      <c r="T35" s="60">
        <v>10</v>
      </c>
      <c r="U35" s="277" t="s">
        <v>62</v>
      </c>
      <c r="V35" s="278"/>
      <c r="W35" s="278"/>
      <c r="X35" s="278"/>
      <c r="Y35" s="278"/>
      <c r="Z35" s="279"/>
      <c r="AA35" s="277" t="s">
        <v>63</v>
      </c>
      <c r="AB35" s="310"/>
    </row>
    <row r="36" spans="1:28" x14ac:dyDescent="0.3">
      <c r="A36" s="131">
        <v>33</v>
      </c>
      <c r="B36" s="64" t="s">
        <v>100</v>
      </c>
      <c r="C36" s="69"/>
      <c r="D36" s="69">
        <v>10</v>
      </c>
      <c r="E36" s="69">
        <v>4</v>
      </c>
      <c r="F36" s="69"/>
      <c r="G36" s="69"/>
      <c r="H36" s="96"/>
      <c r="I36" s="96"/>
      <c r="J36" s="69"/>
      <c r="K36" s="69"/>
      <c r="L36" s="69"/>
      <c r="M36" s="151"/>
      <c r="N36" s="164">
        <f t="shared" si="0"/>
        <v>14</v>
      </c>
      <c r="S36" s="135"/>
      <c r="T36" s="59">
        <v>11</v>
      </c>
      <c r="U36" s="277" t="s">
        <v>68</v>
      </c>
      <c r="V36" s="278"/>
      <c r="W36" s="278"/>
      <c r="X36" s="278"/>
      <c r="Y36" s="278"/>
      <c r="Z36" s="279"/>
      <c r="AA36" s="269" t="s">
        <v>71</v>
      </c>
      <c r="AB36" s="270"/>
    </row>
    <row r="37" spans="1:28" x14ac:dyDescent="0.3">
      <c r="A37" s="124">
        <v>34</v>
      </c>
      <c r="B37" s="64" t="s">
        <v>118</v>
      </c>
      <c r="C37" s="69"/>
      <c r="D37" s="69"/>
      <c r="E37" s="69"/>
      <c r="F37" s="69"/>
      <c r="G37" s="66">
        <v>13</v>
      </c>
      <c r="H37" s="118"/>
      <c r="I37" s="118"/>
      <c r="J37" s="66"/>
      <c r="K37" s="66"/>
      <c r="L37" s="66"/>
      <c r="M37" s="155"/>
      <c r="N37" s="164">
        <f t="shared" si="0"/>
        <v>13</v>
      </c>
      <c r="S37" s="122"/>
      <c r="T37" s="84">
        <v>12</v>
      </c>
      <c r="U37" s="259" t="s">
        <v>72</v>
      </c>
      <c r="V37" s="260"/>
      <c r="W37" s="260"/>
      <c r="X37" s="260"/>
      <c r="Y37" s="260"/>
      <c r="Z37" s="261"/>
      <c r="AA37" s="255" t="s">
        <v>73</v>
      </c>
      <c r="AB37" s="256"/>
    </row>
    <row r="38" spans="1:28" x14ac:dyDescent="0.3">
      <c r="A38" s="131">
        <v>35</v>
      </c>
      <c r="B38" s="64" t="s">
        <v>234</v>
      </c>
      <c r="C38" s="69"/>
      <c r="D38" s="69"/>
      <c r="E38" s="115">
        <v>12</v>
      </c>
      <c r="F38" s="115"/>
      <c r="G38" s="69"/>
      <c r="H38" s="69"/>
      <c r="I38" s="69"/>
      <c r="J38" s="69"/>
      <c r="K38" s="69"/>
      <c r="L38" s="69"/>
      <c r="M38" s="151"/>
      <c r="N38" s="164">
        <f t="shared" si="0"/>
        <v>12</v>
      </c>
      <c r="S38" s="122"/>
      <c r="T38" s="85">
        <v>13</v>
      </c>
      <c r="U38" s="259" t="s">
        <v>53</v>
      </c>
      <c r="V38" s="260"/>
      <c r="W38" s="260"/>
      <c r="X38" s="260"/>
      <c r="Y38" s="260"/>
      <c r="Z38" s="261"/>
      <c r="AA38" s="255" t="s">
        <v>75</v>
      </c>
      <c r="AB38" s="256"/>
    </row>
    <row r="39" spans="1:28" x14ac:dyDescent="0.3">
      <c r="A39" s="124">
        <v>36</v>
      </c>
      <c r="B39" s="64" t="s">
        <v>245</v>
      </c>
      <c r="C39" s="69"/>
      <c r="D39" s="69"/>
      <c r="E39" s="69"/>
      <c r="F39" s="69"/>
      <c r="G39" s="69"/>
      <c r="H39" s="115">
        <v>11</v>
      </c>
      <c r="I39" s="69"/>
      <c r="J39" s="69"/>
      <c r="K39" s="69"/>
      <c r="L39" s="69"/>
      <c r="M39" s="151"/>
      <c r="N39" s="164">
        <f t="shared" si="0"/>
        <v>11</v>
      </c>
      <c r="S39" s="122"/>
      <c r="T39" s="60">
        <v>14</v>
      </c>
      <c r="U39" s="277" t="s">
        <v>77</v>
      </c>
      <c r="V39" s="278"/>
      <c r="W39" s="278"/>
      <c r="X39" s="278"/>
      <c r="Y39" s="278"/>
      <c r="Z39" s="279"/>
      <c r="AA39" s="269" t="s">
        <v>76</v>
      </c>
      <c r="AB39" s="270"/>
    </row>
    <row r="40" spans="1:28" x14ac:dyDescent="0.3">
      <c r="A40" s="131">
        <v>37</v>
      </c>
      <c r="B40" s="64" t="s">
        <v>235</v>
      </c>
      <c r="C40" s="69"/>
      <c r="D40" s="69"/>
      <c r="E40" s="115">
        <v>11</v>
      </c>
      <c r="F40" s="115"/>
      <c r="G40" s="69"/>
      <c r="H40" s="115"/>
      <c r="I40" s="69"/>
      <c r="J40" s="69"/>
      <c r="K40" s="69"/>
      <c r="L40" s="69"/>
      <c r="M40" s="151"/>
      <c r="N40" s="164">
        <f t="shared" si="0"/>
        <v>11</v>
      </c>
      <c r="S40" s="122"/>
      <c r="T40" s="85">
        <v>15</v>
      </c>
      <c r="U40" s="259" t="s">
        <v>54</v>
      </c>
      <c r="V40" s="260"/>
      <c r="W40" s="260"/>
      <c r="X40" s="260"/>
      <c r="Y40" s="260"/>
      <c r="Z40" s="261"/>
      <c r="AA40" s="255" t="s">
        <v>78</v>
      </c>
      <c r="AB40" s="256"/>
    </row>
    <row r="41" spans="1:28" x14ac:dyDescent="0.3">
      <c r="A41" s="124">
        <v>38</v>
      </c>
      <c r="B41" s="64" t="s">
        <v>237</v>
      </c>
      <c r="C41" s="69"/>
      <c r="D41" s="69"/>
      <c r="E41" s="69">
        <v>9</v>
      </c>
      <c r="F41" s="69"/>
      <c r="G41" s="69"/>
      <c r="H41" s="69"/>
      <c r="I41" s="69"/>
      <c r="J41" s="69">
        <v>1</v>
      </c>
      <c r="K41" s="69"/>
      <c r="L41" s="69"/>
      <c r="M41" s="151"/>
      <c r="N41" s="164">
        <f t="shared" si="0"/>
        <v>10</v>
      </c>
      <c r="S41" s="122"/>
      <c r="T41" s="60">
        <v>16</v>
      </c>
      <c r="U41" s="277" t="s">
        <v>79</v>
      </c>
      <c r="V41" s="278"/>
      <c r="W41" s="278"/>
      <c r="X41" s="278"/>
      <c r="Y41" s="278"/>
      <c r="Z41" s="279"/>
      <c r="AA41" s="269" t="s">
        <v>80</v>
      </c>
      <c r="AB41" s="270"/>
    </row>
    <row r="42" spans="1:28" x14ac:dyDescent="0.3">
      <c r="A42" s="131">
        <v>39</v>
      </c>
      <c r="B42" s="117" t="s">
        <v>229</v>
      </c>
      <c r="C42" s="96">
        <v>1</v>
      </c>
      <c r="D42" s="96">
        <v>2</v>
      </c>
      <c r="E42" s="96"/>
      <c r="F42" s="96"/>
      <c r="G42" s="96"/>
      <c r="H42" s="96"/>
      <c r="I42" s="96"/>
      <c r="J42" s="69">
        <v>1</v>
      </c>
      <c r="K42" s="69">
        <v>6</v>
      </c>
      <c r="L42" s="69"/>
      <c r="M42" s="151"/>
      <c r="N42" s="164">
        <f t="shared" si="0"/>
        <v>10</v>
      </c>
      <c r="S42" s="122"/>
      <c r="T42" s="59">
        <v>17</v>
      </c>
      <c r="U42" s="277" t="s">
        <v>55</v>
      </c>
      <c r="V42" s="278"/>
      <c r="W42" s="278"/>
      <c r="X42" s="278"/>
      <c r="Y42" s="278"/>
      <c r="Z42" s="279"/>
      <c r="AA42" s="269" t="s">
        <v>81</v>
      </c>
      <c r="AB42" s="270"/>
    </row>
    <row r="43" spans="1:28" x14ac:dyDescent="0.3">
      <c r="A43" s="124">
        <v>40</v>
      </c>
      <c r="B43" s="64" t="s">
        <v>238</v>
      </c>
      <c r="C43" s="69"/>
      <c r="D43" s="69"/>
      <c r="E43" s="66">
        <v>7</v>
      </c>
      <c r="F43" s="66"/>
      <c r="G43" s="69"/>
      <c r="H43" s="69"/>
      <c r="I43" s="69"/>
      <c r="J43" s="69"/>
      <c r="K43" s="69"/>
      <c r="L43" s="69"/>
      <c r="M43" s="151"/>
      <c r="N43" s="164">
        <f t="shared" si="0"/>
        <v>7</v>
      </c>
      <c r="S43" s="122"/>
      <c r="T43" s="60">
        <v>18</v>
      </c>
      <c r="U43" s="277" t="s">
        <v>56</v>
      </c>
      <c r="V43" s="278"/>
      <c r="W43" s="278"/>
      <c r="X43" s="278"/>
      <c r="Y43" s="278"/>
      <c r="Z43" s="279"/>
      <c r="AA43" s="269" t="s">
        <v>82</v>
      </c>
      <c r="AB43" s="270"/>
    </row>
    <row r="44" spans="1:28" x14ac:dyDescent="0.3">
      <c r="A44" s="131">
        <v>41</v>
      </c>
      <c r="B44" s="64" t="s">
        <v>124</v>
      </c>
      <c r="C44" s="69"/>
      <c r="D44" s="69"/>
      <c r="E44" s="69"/>
      <c r="F44" s="69"/>
      <c r="G44" s="66">
        <v>2</v>
      </c>
      <c r="H44" s="66">
        <v>4</v>
      </c>
      <c r="I44" s="66"/>
      <c r="J44" s="66"/>
      <c r="K44" s="66"/>
      <c r="L44" s="66"/>
      <c r="M44" s="155"/>
      <c r="N44" s="164">
        <f t="shared" si="0"/>
        <v>6</v>
      </c>
      <c r="S44" s="122"/>
      <c r="T44" s="85">
        <v>19</v>
      </c>
      <c r="U44" s="259" t="s">
        <v>57</v>
      </c>
      <c r="V44" s="260"/>
      <c r="W44" s="260"/>
      <c r="X44" s="260"/>
      <c r="Y44" s="260"/>
      <c r="Z44" s="261"/>
      <c r="AA44" s="255" t="s">
        <v>83</v>
      </c>
      <c r="AB44" s="256"/>
    </row>
    <row r="45" spans="1:28" x14ac:dyDescent="0.3">
      <c r="A45" s="124">
        <v>42</v>
      </c>
      <c r="B45" s="117" t="s">
        <v>240</v>
      </c>
      <c r="C45" s="96"/>
      <c r="D45" s="96"/>
      <c r="E45" s="96">
        <v>3</v>
      </c>
      <c r="F45" s="96"/>
      <c r="G45" s="96"/>
      <c r="H45" s="96"/>
      <c r="I45" s="96"/>
      <c r="J45" s="69"/>
      <c r="K45" s="69"/>
      <c r="L45" s="69"/>
      <c r="M45" s="151"/>
      <c r="N45" s="164">
        <f t="shared" si="0"/>
        <v>3</v>
      </c>
      <c r="S45" s="122"/>
      <c r="T45" s="84">
        <v>20</v>
      </c>
      <c r="U45" s="259" t="s">
        <v>84</v>
      </c>
      <c r="V45" s="260"/>
      <c r="W45" s="260"/>
      <c r="X45" s="260"/>
      <c r="Y45" s="260"/>
      <c r="Z45" s="261"/>
      <c r="AA45" s="255" t="s">
        <v>85</v>
      </c>
      <c r="AB45" s="256"/>
    </row>
    <row r="46" spans="1:28" ht="15" thickBot="1" x14ac:dyDescent="0.35">
      <c r="A46" s="131">
        <v>43</v>
      </c>
      <c r="B46" s="81" t="s">
        <v>247</v>
      </c>
      <c r="C46" s="69"/>
      <c r="D46" s="69"/>
      <c r="E46" s="69"/>
      <c r="F46" s="69"/>
      <c r="G46" s="69"/>
      <c r="H46" s="69"/>
      <c r="I46" s="69">
        <v>1</v>
      </c>
      <c r="J46" s="69"/>
      <c r="K46" s="69"/>
      <c r="L46" s="69"/>
      <c r="M46" s="151"/>
      <c r="N46" s="164">
        <f t="shared" si="0"/>
        <v>1</v>
      </c>
      <c r="S46" s="122"/>
      <c r="T46" s="137">
        <v>21</v>
      </c>
      <c r="U46" s="287" t="s">
        <v>86</v>
      </c>
      <c r="V46" s="288"/>
      <c r="W46" s="288"/>
      <c r="X46" s="288"/>
      <c r="Y46" s="288"/>
      <c r="Z46" s="289"/>
      <c r="AA46" s="257" t="s">
        <v>87</v>
      </c>
      <c r="AB46" s="258"/>
    </row>
    <row r="47" spans="1:28" ht="15" thickBot="1" x14ac:dyDescent="0.35">
      <c r="A47" s="126">
        <v>44</v>
      </c>
      <c r="B47" s="127" t="s">
        <v>239</v>
      </c>
      <c r="C47" s="128"/>
      <c r="D47" s="128"/>
      <c r="E47" s="186">
        <v>1</v>
      </c>
      <c r="F47" s="186"/>
      <c r="G47" s="128"/>
      <c r="H47" s="128"/>
      <c r="I47" s="128"/>
      <c r="J47" s="128"/>
      <c r="K47" s="128"/>
      <c r="L47" s="128"/>
      <c r="M47" s="187"/>
      <c r="N47" s="165">
        <f t="shared" si="0"/>
        <v>1</v>
      </c>
      <c r="T47" s="138" t="s">
        <v>45</v>
      </c>
      <c r="U47" s="248" t="s">
        <v>248</v>
      </c>
      <c r="V47" s="248"/>
      <c r="W47" s="248"/>
      <c r="X47" s="248"/>
      <c r="Y47" s="248"/>
      <c r="Z47" s="248"/>
      <c r="AA47" s="248" t="s">
        <v>74</v>
      </c>
      <c r="AB47" s="249"/>
    </row>
    <row r="48" spans="1:28" ht="15" thickBot="1" x14ac:dyDescent="0.35">
      <c r="S48" s="122"/>
      <c r="T48" s="150">
        <v>1</v>
      </c>
      <c r="U48" s="317" t="s">
        <v>340</v>
      </c>
      <c r="V48" s="317"/>
      <c r="W48" s="317"/>
      <c r="X48" s="317"/>
      <c r="Y48" s="317"/>
      <c r="Z48" s="317"/>
      <c r="AA48" s="317" t="s">
        <v>341</v>
      </c>
      <c r="AB48" s="318"/>
    </row>
  </sheetData>
  <sortState ref="B4:N47">
    <sortCondition descending="1" ref="N4:N47"/>
  </sortState>
  <mergeCells count="49">
    <mergeCell ref="U43:Z43"/>
    <mergeCell ref="AA43:AB43"/>
    <mergeCell ref="AA44:AB44"/>
    <mergeCell ref="U45:Z45"/>
    <mergeCell ref="AA45:AB45"/>
    <mergeCell ref="U44:Z44"/>
    <mergeCell ref="A1:N2"/>
    <mergeCell ref="U25:Z25"/>
    <mergeCell ref="AA25:AB25"/>
    <mergeCell ref="U26:Z26"/>
    <mergeCell ref="AA26:AB26"/>
    <mergeCell ref="U27:Z27"/>
    <mergeCell ref="AA27:AB27"/>
    <mergeCell ref="U28:Z28"/>
    <mergeCell ref="AA28:AB28"/>
    <mergeCell ref="U29:Z29"/>
    <mergeCell ref="AA29:AB29"/>
    <mergeCell ref="U30:Z30"/>
    <mergeCell ref="AA30:AB30"/>
    <mergeCell ref="U41:Z41"/>
    <mergeCell ref="AA41:AB41"/>
    <mergeCell ref="U42:Z42"/>
    <mergeCell ref="U38:Z38"/>
    <mergeCell ref="AA38:AB38"/>
    <mergeCell ref="U39:Z39"/>
    <mergeCell ref="AA39:AB39"/>
    <mergeCell ref="U40:Z40"/>
    <mergeCell ref="AA40:AB40"/>
    <mergeCell ref="U35:Z35"/>
    <mergeCell ref="AA35:AB35"/>
    <mergeCell ref="U36:Z36"/>
    <mergeCell ref="AA36:AB36"/>
    <mergeCell ref="U37:Z37"/>
    <mergeCell ref="AA47:AB47"/>
    <mergeCell ref="U47:Z47"/>
    <mergeCell ref="AA48:AB48"/>
    <mergeCell ref="U48:Z48"/>
    <mergeCell ref="U31:Z31"/>
    <mergeCell ref="AA31:AB31"/>
    <mergeCell ref="AA37:AB37"/>
    <mergeCell ref="U32:Z32"/>
    <mergeCell ref="AA32:AB32"/>
    <mergeCell ref="U33:Z33"/>
    <mergeCell ref="AA33:AB33"/>
    <mergeCell ref="U34:Z34"/>
    <mergeCell ref="AA34:AB34"/>
    <mergeCell ref="U46:Z46"/>
    <mergeCell ref="AA46:AB46"/>
    <mergeCell ref="AA42:AB42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selection activeCell="I10" sqref="I10"/>
    </sheetView>
  </sheetViews>
  <sheetFormatPr defaultRowHeight="14.4" x14ac:dyDescent="0.3"/>
  <cols>
    <col min="2" max="2" width="23.6640625" customWidth="1"/>
  </cols>
  <sheetData>
    <row r="1" spans="1:7" x14ac:dyDescent="0.3">
      <c r="A1" s="319" t="s">
        <v>88</v>
      </c>
      <c r="B1" s="320"/>
      <c r="C1" s="320"/>
      <c r="D1" s="320"/>
      <c r="E1" s="320"/>
      <c r="F1" s="320"/>
      <c r="G1" s="321"/>
    </row>
    <row r="2" spans="1:7" x14ac:dyDescent="0.3">
      <c r="A2" s="322"/>
      <c r="B2" s="323"/>
      <c r="C2" s="323"/>
      <c r="D2" s="323"/>
      <c r="E2" s="323"/>
      <c r="F2" s="323"/>
      <c r="G2" s="324"/>
    </row>
    <row r="3" spans="1:7" ht="15" thickBot="1" x14ac:dyDescent="0.35">
      <c r="A3" s="322"/>
      <c r="B3" s="323"/>
      <c r="C3" s="323"/>
      <c r="D3" s="323"/>
      <c r="E3" s="323"/>
      <c r="F3" s="323"/>
      <c r="G3" s="324"/>
    </row>
    <row r="4" spans="1:7" ht="15" thickBot="1" x14ac:dyDescent="0.35">
      <c r="A4" s="176" t="s">
        <v>89</v>
      </c>
      <c r="B4" s="99" t="s">
        <v>90</v>
      </c>
      <c r="C4" s="86">
        <v>2</v>
      </c>
      <c r="D4" s="86">
        <v>5</v>
      </c>
      <c r="E4" s="86">
        <v>7</v>
      </c>
      <c r="F4" s="177">
        <v>12</v>
      </c>
      <c r="G4" s="163" t="s">
        <v>91</v>
      </c>
    </row>
    <row r="5" spans="1:7" x14ac:dyDescent="0.3">
      <c r="A5" s="131">
        <v>1</v>
      </c>
      <c r="B5" s="97" t="s">
        <v>198</v>
      </c>
      <c r="C5" s="87">
        <v>61.5</v>
      </c>
      <c r="D5" s="87"/>
      <c r="E5" s="87">
        <v>1</v>
      </c>
      <c r="F5" s="143">
        <v>71.5</v>
      </c>
      <c r="G5" s="144">
        <f t="shared" ref="G5:G10" si="0">SUM(C5:F5)</f>
        <v>134</v>
      </c>
    </row>
    <row r="6" spans="1:7" x14ac:dyDescent="0.3">
      <c r="A6" s="124">
        <v>2</v>
      </c>
      <c r="B6" s="64" t="s">
        <v>199</v>
      </c>
      <c r="C6" s="69">
        <v>58.5</v>
      </c>
      <c r="D6" s="69"/>
      <c r="E6" s="69"/>
      <c r="F6" s="171">
        <v>28.5</v>
      </c>
      <c r="G6" s="153">
        <f t="shared" si="0"/>
        <v>87</v>
      </c>
    </row>
    <row r="7" spans="1:7" x14ac:dyDescent="0.3">
      <c r="A7" s="124">
        <v>3</v>
      </c>
      <c r="B7" s="64" t="s">
        <v>222</v>
      </c>
      <c r="C7" s="69">
        <v>21.5</v>
      </c>
      <c r="D7" s="69">
        <v>49</v>
      </c>
      <c r="E7" s="69"/>
      <c r="F7" s="171"/>
      <c r="G7" s="153">
        <f t="shared" si="0"/>
        <v>70.5</v>
      </c>
    </row>
    <row r="8" spans="1:7" x14ac:dyDescent="0.3">
      <c r="A8" s="124">
        <v>4</v>
      </c>
      <c r="B8" s="64" t="s">
        <v>197</v>
      </c>
      <c r="C8" s="69">
        <v>18.5</v>
      </c>
      <c r="D8" s="69"/>
      <c r="E8" s="69"/>
      <c r="F8" s="171">
        <v>49.5</v>
      </c>
      <c r="G8" s="153">
        <f t="shared" si="0"/>
        <v>68</v>
      </c>
    </row>
    <row r="9" spans="1:7" x14ac:dyDescent="0.3">
      <c r="A9" s="124">
        <v>5</v>
      </c>
      <c r="B9" s="64" t="s">
        <v>193</v>
      </c>
      <c r="C9" s="69">
        <v>16</v>
      </c>
      <c r="D9" s="69"/>
      <c r="E9" s="69"/>
      <c r="F9" s="171">
        <v>19.5</v>
      </c>
      <c r="G9" s="153">
        <f t="shared" si="0"/>
        <v>35.5</v>
      </c>
    </row>
    <row r="10" spans="1:7" ht="15" thickBot="1" x14ac:dyDescent="0.35">
      <c r="A10" s="126">
        <v>6</v>
      </c>
      <c r="B10" s="183" t="s">
        <v>195</v>
      </c>
      <c r="C10" s="191"/>
      <c r="D10" s="191"/>
      <c r="E10" s="128">
        <v>4</v>
      </c>
      <c r="F10" s="190"/>
      <c r="G10" s="154">
        <f t="shared" si="0"/>
        <v>4</v>
      </c>
    </row>
    <row r="11" spans="1:7" x14ac:dyDescent="0.3">
      <c r="A11" s="55"/>
    </row>
    <row r="12" spans="1:7" x14ac:dyDescent="0.3">
      <c r="A12" s="55"/>
    </row>
    <row r="21" spans="11:20" ht="15" thickBot="1" x14ac:dyDescent="0.35"/>
    <row r="22" spans="11:20" ht="15" thickBot="1" x14ac:dyDescent="0.35">
      <c r="K22" s="57" t="s">
        <v>45</v>
      </c>
      <c r="L22" s="262" t="s">
        <v>46</v>
      </c>
      <c r="M22" s="262"/>
      <c r="N22" s="262"/>
      <c r="O22" s="262"/>
      <c r="P22" s="262"/>
      <c r="Q22" s="262"/>
      <c r="R22" s="262"/>
      <c r="S22" s="328" t="s">
        <v>74</v>
      </c>
      <c r="T22" s="329"/>
    </row>
    <row r="23" spans="11:20" x14ac:dyDescent="0.3">
      <c r="K23" s="59">
        <v>1</v>
      </c>
      <c r="L23" s="325" t="s">
        <v>47</v>
      </c>
      <c r="M23" s="326"/>
      <c r="N23" s="326"/>
      <c r="O23" s="326"/>
      <c r="P23" s="326"/>
      <c r="Q23" s="326"/>
      <c r="R23" s="327"/>
      <c r="S23" s="333" t="s">
        <v>58</v>
      </c>
      <c r="T23" s="334"/>
    </row>
    <row r="24" spans="11:20" x14ac:dyDescent="0.3">
      <c r="K24" s="84">
        <v>2</v>
      </c>
      <c r="L24" s="259" t="s">
        <v>48</v>
      </c>
      <c r="M24" s="260"/>
      <c r="N24" s="260"/>
      <c r="O24" s="260"/>
      <c r="P24" s="260"/>
      <c r="Q24" s="260"/>
      <c r="R24" s="261"/>
      <c r="S24" s="259" t="s">
        <v>65</v>
      </c>
      <c r="T24" s="268"/>
    </row>
    <row r="25" spans="11:20" x14ac:dyDescent="0.3">
      <c r="K25" s="59">
        <v>3</v>
      </c>
      <c r="L25" s="277" t="s">
        <v>175</v>
      </c>
      <c r="M25" s="278"/>
      <c r="N25" s="278"/>
      <c r="O25" s="278"/>
      <c r="P25" s="278"/>
      <c r="Q25" s="278"/>
      <c r="R25" s="279"/>
      <c r="S25" s="56" t="s">
        <v>176</v>
      </c>
      <c r="T25" s="100"/>
    </row>
    <row r="26" spans="11:20" x14ac:dyDescent="0.3">
      <c r="K26" s="60">
        <v>4</v>
      </c>
      <c r="L26" s="277" t="s">
        <v>49</v>
      </c>
      <c r="M26" s="278"/>
      <c r="N26" s="278"/>
      <c r="O26" s="278"/>
      <c r="P26" s="278"/>
      <c r="Q26" s="278"/>
      <c r="R26" s="279"/>
      <c r="S26" s="101" t="s">
        <v>66</v>
      </c>
      <c r="T26" s="102"/>
    </row>
    <row r="27" spans="11:20" x14ac:dyDescent="0.3">
      <c r="K27" s="59">
        <v>5</v>
      </c>
      <c r="L27" s="277" t="s">
        <v>69</v>
      </c>
      <c r="M27" s="278"/>
      <c r="N27" s="278"/>
      <c r="O27" s="278"/>
      <c r="P27" s="278"/>
      <c r="Q27" s="278"/>
      <c r="R27" s="279"/>
      <c r="S27" s="101" t="s">
        <v>59</v>
      </c>
      <c r="T27" s="102"/>
    </row>
    <row r="28" spans="11:20" x14ac:dyDescent="0.3">
      <c r="K28" s="60">
        <v>6</v>
      </c>
      <c r="L28" s="277" t="s">
        <v>69</v>
      </c>
      <c r="M28" s="278"/>
      <c r="N28" s="278"/>
      <c r="O28" s="278"/>
      <c r="P28" s="278"/>
      <c r="Q28" s="278"/>
      <c r="R28" s="279"/>
      <c r="S28" s="101" t="s">
        <v>67</v>
      </c>
      <c r="T28" s="102"/>
    </row>
    <row r="29" spans="11:20" x14ac:dyDescent="0.3">
      <c r="K29" s="85">
        <v>7</v>
      </c>
      <c r="L29" s="259" t="s">
        <v>50</v>
      </c>
      <c r="M29" s="260"/>
      <c r="N29" s="260"/>
      <c r="O29" s="260"/>
      <c r="P29" s="260"/>
      <c r="Q29" s="260"/>
      <c r="R29" s="261"/>
      <c r="S29" s="103" t="s">
        <v>60</v>
      </c>
      <c r="T29" s="104"/>
    </row>
    <row r="30" spans="11:20" x14ac:dyDescent="0.3">
      <c r="K30" s="60">
        <v>8</v>
      </c>
      <c r="L30" s="277" t="s">
        <v>51</v>
      </c>
      <c r="M30" s="278"/>
      <c r="N30" s="278"/>
      <c r="O30" s="278"/>
      <c r="P30" s="278"/>
      <c r="Q30" s="278"/>
      <c r="R30" s="279"/>
      <c r="S30" s="101" t="s">
        <v>64</v>
      </c>
      <c r="T30" s="102"/>
    </row>
    <row r="31" spans="11:20" x14ac:dyDescent="0.3">
      <c r="K31" s="59">
        <v>9</v>
      </c>
      <c r="L31" s="277" t="s">
        <v>52</v>
      </c>
      <c r="M31" s="278"/>
      <c r="N31" s="278"/>
      <c r="O31" s="278"/>
      <c r="P31" s="278"/>
      <c r="Q31" s="278"/>
      <c r="R31" s="279"/>
      <c r="S31" s="101" t="s">
        <v>61</v>
      </c>
      <c r="T31" s="102"/>
    </row>
    <row r="32" spans="11:20" x14ac:dyDescent="0.3">
      <c r="K32" s="60">
        <v>10</v>
      </c>
      <c r="L32" s="277" t="s">
        <v>62</v>
      </c>
      <c r="M32" s="278"/>
      <c r="N32" s="278"/>
      <c r="O32" s="278"/>
      <c r="P32" s="278"/>
      <c r="Q32" s="278"/>
      <c r="R32" s="279"/>
      <c r="S32" s="56" t="s">
        <v>63</v>
      </c>
      <c r="T32" s="100"/>
    </row>
    <row r="33" spans="11:20" x14ac:dyDescent="0.3">
      <c r="K33" s="59">
        <v>11</v>
      </c>
      <c r="L33" s="277" t="s">
        <v>68</v>
      </c>
      <c r="M33" s="278"/>
      <c r="N33" s="278"/>
      <c r="O33" s="278"/>
      <c r="P33" s="278"/>
      <c r="Q33" s="278"/>
      <c r="R33" s="279"/>
      <c r="S33" s="101" t="s">
        <v>71</v>
      </c>
      <c r="T33" s="102"/>
    </row>
    <row r="34" spans="11:20" x14ac:dyDescent="0.3">
      <c r="K34" s="84">
        <v>12</v>
      </c>
      <c r="L34" s="259" t="s">
        <v>72</v>
      </c>
      <c r="M34" s="260"/>
      <c r="N34" s="260"/>
      <c r="O34" s="260"/>
      <c r="P34" s="260"/>
      <c r="Q34" s="260"/>
      <c r="R34" s="261"/>
      <c r="S34" s="103" t="s">
        <v>73</v>
      </c>
      <c r="T34" s="104"/>
    </row>
    <row r="35" spans="11:20" x14ac:dyDescent="0.3">
      <c r="K35" s="59">
        <v>13</v>
      </c>
      <c r="L35" s="277" t="s">
        <v>53</v>
      </c>
      <c r="M35" s="278"/>
      <c r="N35" s="278"/>
      <c r="O35" s="278"/>
      <c r="P35" s="278"/>
      <c r="Q35" s="278"/>
      <c r="R35" s="279"/>
      <c r="S35" s="101" t="s">
        <v>75</v>
      </c>
      <c r="T35" s="102"/>
    </row>
    <row r="36" spans="11:20" x14ac:dyDescent="0.3">
      <c r="K36" s="60">
        <v>14</v>
      </c>
      <c r="L36" s="277" t="s">
        <v>77</v>
      </c>
      <c r="M36" s="278"/>
      <c r="N36" s="278"/>
      <c r="O36" s="278"/>
      <c r="P36" s="278"/>
      <c r="Q36" s="278"/>
      <c r="R36" s="279"/>
      <c r="S36" s="101" t="s">
        <v>76</v>
      </c>
      <c r="T36" s="102"/>
    </row>
    <row r="37" spans="11:20" x14ac:dyDescent="0.3">
      <c r="K37" s="59">
        <v>15</v>
      </c>
      <c r="L37" s="277" t="s">
        <v>54</v>
      </c>
      <c r="M37" s="278"/>
      <c r="N37" s="278"/>
      <c r="O37" s="278"/>
      <c r="P37" s="278"/>
      <c r="Q37" s="278"/>
      <c r="R37" s="279"/>
      <c r="S37" s="101" t="s">
        <v>78</v>
      </c>
      <c r="T37" s="102"/>
    </row>
    <row r="38" spans="11:20" x14ac:dyDescent="0.3">
      <c r="K38" s="60">
        <v>16</v>
      </c>
      <c r="L38" s="277" t="s">
        <v>79</v>
      </c>
      <c r="M38" s="278"/>
      <c r="N38" s="278"/>
      <c r="O38" s="278"/>
      <c r="P38" s="278"/>
      <c r="Q38" s="278"/>
      <c r="R38" s="279"/>
      <c r="S38" s="101" t="s">
        <v>80</v>
      </c>
      <c r="T38" s="102"/>
    </row>
    <row r="39" spans="11:20" x14ac:dyDescent="0.3">
      <c r="K39" s="59">
        <v>17</v>
      </c>
      <c r="L39" s="277" t="s">
        <v>55</v>
      </c>
      <c r="M39" s="278"/>
      <c r="N39" s="278"/>
      <c r="O39" s="278"/>
      <c r="P39" s="278"/>
      <c r="Q39" s="278"/>
      <c r="R39" s="279"/>
      <c r="S39" s="101" t="s">
        <v>81</v>
      </c>
      <c r="T39" s="102"/>
    </row>
    <row r="40" spans="11:20" x14ac:dyDescent="0.3">
      <c r="K40" s="60">
        <v>18</v>
      </c>
      <c r="L40" s="277" t="s">
        <v>56</v>
      </c>
      <c r="M40" s="278"/>
      <c r="N40" s="278"/>
      <c r="O40" s="278"/>
      <c r="P40" s="278"/>
      <c r="Q40" s="278"/>
      <c r="R40" s="279"/>
      <c r="S40" s="101" t="s">
        <v>82</v>
      </c>
      <c r="T40" s="102"/>
    </row>
    <row r="41" spans="11:20" x14ac:dyDescent="0.3">
      <c r="K41" s="59">
        <v>19</v>
      </c>
      <c r="L41" s="277" t="s">
        <v>57</v>
      </c>
      <c r="M41" s="278"/>
      <c r="N41" s="278"/>
      <c r="O41" s="278"/>
      <c r="P41" s="278"/>
      <c r="Q41" s="278"/>
      <c r="R41" s="279"/>
      <c r="S41" s="101" t="s">
        <v>83</v>
      </c>
      <c r="T41" s="102"/>
    </row>
    <row r="42" spans="11:20" x14ac:dyDescent="0.3">
      <c r="K42" s="60">
        <v>20</v>
      </c>
      <c r="L42" s="277" t="s">
        <v>84</v>
      </c>
      <c r="M42" s="278"/>
      <c r="N42" s="278"/>
      <c r="O42" s="278"/>
      <c r="P42" s="278"/>
      <c r="Q42" s="278"/>
      <c r="R42" s="279"/>
      <c r="S42" s="101" t="s">
        <v>85</v>
      </c>
      <c r="T42" s="102"/>
    </row>
    <row r="43" spans="11:20" ht="15" thickBot="1" x14ac:dyDescent="0.35">
      <c r="K43" s="179">
        <v>21</v>
      </c>
      <c r="L43" s="330" t="s">
        <v>86</v>
      </c>
      <c r="M43" s="331"/>
      <c r="N43" s="331"/>
      <c r="O43" s="331"/>
      <c r="P43" s="331"/>
      <c r="Q43" s="331"/>
      <c r="R43" s="332"/>
      <c r="S43" s="105" t="s">
        <v>87</v>
      </c>
      <c r="T43" s="106"/>
    </row>
  </sheetData>
  <sortState ref="B5:G10">
    <sortCondition descending="1" ref="G5:G10"/>
  </sortState>
  <mergeCells count="26">
    <mergeCell ref="L39:R39"/>
    <mergeCell ref="L40:R40"/>
    <mergeCell ref="L42:R42"/>
    <mergeCell ref="L43:R43"/>
    <mergeCell ref="S23:T23"/>
    <mergeCell ref="S24:T24"/>
    <mergeCell ref="L41:R41"/>
    <mergeCell ref="L36:R36"/>
    <mergeCell ref="L37:R37"/>
    <mergeCell ref="L38:R38"/>
    <mergeCell ref="L35:R35"/>
    <mergeCell ref="L30:R30"/>
    <mergeCell ref="L31:R31"/>
    <mergeCell ref="L32:R32"/>
    <mergeCell ref="L33:R33"/>
    <mergeCell ref="L34:R34"/>
    <mergeCell ref="L29:R29"/>
    <mergeCell ref="S22:T22"/>
    <mergeCell ref="L25:R25"/>
    <mergeCell ref="L26:R26"/>
    <mergeCell ref="L22:R22"/>
    <mergeCell ref="A1:G3"/>
    <mergeCell ref="L23:R23"/>
    <mergeCell ref="L24:R24"/>
    <mergeCell ref="L27:R27"/>
    <mergeCell ref="L28:R2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selection activeCell="G8" sqref="G8"/>
    </sheetView>
  </sheetViews>
  <sheetFormatPr defaultRowHeight="14.4" x14ac:dyDescent="0.3"/>
  <cols>
    <col min="2" max="2" width="21.33203125" customWidth="1"/>
    <col min="3" max="8" width="9.33203125" customWidth="1"/>
  </cols>
  <sheetData>
    <row r="1" spans="1:13" ht="58.8" customHeight="1" thickBot="1" x14ac:dyDescent="0.35">
      <c r="A1" s="335" t="s">
        <v>93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7"/>
    </row>
    <row r="2" spans="1:13" ht="15" thickBot="1" x14ac:dyDescent="0.35">
      <c r="A2" s="168" t="s">
        <v>89</v>
      </c>
      <c r="B2" s="169" t="s">
        <v>90</v>
      </c>
      <c r="C2" s="170">
        <v>1</v>
      </c>
      <c r="D2" s="170">
        <v>2</v>
      </c>
      <c r="E2" s="170">
        <v>4</v>
      </c>
      <c r="F2" s="170">
        <v>7</v>
      </c>
      <c r="G2" s="170">
        <v>8</v>
      </c>
      <c r="H2" s="170">
        <v>9</v>
      </c>
      <c r="I2" s="114">
        <v>12</v>
      </c>
      <c r="J2" s="114">
        <v>13</v>
      </c>
      <c r="K2" s="114">
        <v>19</v>
      </c>
      <c r="L2" s="136">
        <v>20</v>
      </c>
      <c r="M2" s="172" t="s">
        <v>94</v>
      </c>
    </row>
    <row r="3" spans="1:13" x14ac:dyDescent="0.3">
      <c r="A3" s="185">
        <v>1</v>
      </c>
      <c r="B3" s="167" t="s">
        <v>177</v>
      </c>
      <c r="C3" s="87">
        <v>9</v>
      </c>
      <c r="D3" s="87">
        <v>46</v>
      </c>
      <c r="E3" s="87"/>
      <c r="F3" s="87">
        <v>11</v>
      </c>
      <c r="G3" s="87"/>
      <c r="H3" s="87">
        <v>17</v>
      </c>
      <c r="I3" s="87">
        <v>100</v>
      </c>
      <c r="J3" s="87"/>
      <c r="K3" s="87"/>
      <c r="L3" s="143"/>
      <c r="M3" s="144">
        <f t="shared" ref="M3:M31" si="0">SUM(C3:L3)</f>
        <v>183</v>
      </c>
    </row>
    <row r="4" spans="1:13" x14ac:dyDescent="0.3">
      <c r="A4" s="140">
        <v>2</v>
      </c>
      <c r="B4" s="83" t="s">
        <v>183</v>
      </c>
      <c r="C4" s="69">
        <v>12</v>
      </c>
      <c r="D4" s="69">
        <v>56</v>
      </c>
      <c r="E4" s="69">
        <v>12</v>
      </c>
      <c r="F4" s="69"/>
      <c r="G4" s="69"/>
      <c r="H4" s="69"/>
      <c r="I4" s="69">
        <v>74</v>
      </c>
      <c r="J4" s="69">
        <v>15</v>
      </c>
      <c r="K4" s="69"/>
      <c r="L4" s="171"/>
      <c r="M4" s="153">
        <f t="shared" si="0"/>
        <v>169</v>
      </c>
    </row>
    <row r="5" spans="1:13" x14ac:dyDescent="0.3">
      <c r="A5" s="185">
        <v>3</v>
      </c>
      <c r="B5" s="83" t="s">
        <v>185</v>
      </c>
      <c r="C5" s="69"/>
      <c r="D5" s="69">
        <v>62</v>
      </c>
      <c r="E5" s="69"/>
      <c r="F5" s="69"/>
      <c r="G5" s="69"/>
      <c r="H5" s="69">
        <v>12</v>
      </c>
      <c r="I5" s="69">
        <v>68</v>
      </c>
      <c r="J5" s="69"/>
      <c r="K5" s="69"/>
      <c r="L5" s="171"/>
      <c r="M5" s="153">
        <f t="shared" si="0"/>
        <v>142</v>
      </c>
    </row>
    <row r="6" spans="1:13" x14ac:dyDescent="0.3">
      <c r="A6" s="140">
        <v>4</v>
      </c>
      <c r="B6" s="83" t="s">
        <v>180</v>
      </c>
      <c r="C6" s="69">
        <v>8</v>
      </c>
      <c r="D6" s="69">
        <v>28</v>
      </c>
      <c r="E6" s="69"/>
      <c r="F6" s="69"/>
      <c r="G6" s="69"/>
      <c r="H6" s="69">
        <v>41</v>
      </c>
      <c r="I6" s="69">
        <v>52</v>
      </c>
      <c r="J6" s="69">
        <v>8</v>
      </c>
      <c r="K6" s="69"/>
      <c r="L6" s="171"/>
      <c r="M6" s="153">
        <f t="shared" si="0"/>
        <v>137</v>
      </c>
    </row>
    <row r="7" spans="1:13" x14ac:dyDescent="0.3">
      <c r="A7" s="185">
        <v>5</v>
      </c>
      <c r="B7" s="64" t="s">
        <v>291</v>
      </c>
      <c r="C7" s="69"/>
      <c r="D7" s="69">
        <v>88</v>
      </c>
      <c r="E7" s="69">
        <v>15</v>
      </c>
      <c r="F7" s="69"/>
      <c r="G7" s="69"/>
      <c r="H7" s="69">
        <v>21</v>
      </c>
      <c r="I7" s="69"/>
      <c r="J7" s="69"/>
      <c r="K7" s="69"/>
      <c r="L7" s="171"/>
      <c r="M7" s="153">
        <f t="shared" si="0"/>
        <v>124</v>
      </c>
    </row>
    <row r="8" spans="1:13" x14ac:dyDescent="0.3">
      <c r="A8" s="140">
        <v>6</v>
      </c>
      <c r="B8" s="83" t="s">
        <v>182</v>
      </c>
      <c r="C8" s="69">
        <v>1</v>
      </c>
      <c r="D8" s="69">
        <v>38</v>
      </c>
      <c r="E8" s="69">
        <v>1</v>
      </c>
      <c r="F8" s="69">
        <v>17</v>
      </c>
      <c r="G8" s="69"/>
      <c r="H8" s="69">
        <v>10</v>
      </c>
      <c r="I8" s="69">
        <v>56</v>
      </c>
      <c r="J8" s="69"/>
      <c r="K8" s="69"/>
      <c r="L8" s="171"/>
      <c r="M8" s="153">
        <f t="shared" si="0"/>
        <v>123</v>
      </c>
    </row>
    <row r="9" spans="1:13" x14ac:dyDescent="0.3">
      <c r="A9" s="185">
        <v>7</v>
      </c>
      <c r="B9" s="83" t="s">
        <v>101</v>
      </c>
      <c r="C9" s="69"/>
      <c r="D9" s="69"/>
      <c r="E9" s="69"/>
      <c r="F9" s="69"/>
      <c r="G9" s="69"/>
      <c r="H9" s="69">
        <v>8</v>
      </c>
      <c r="I9" s="69">
        <v>68</v>
      </c>
      <c r="J9" s="69">
        <v>34</v>
      </c>
      <c r="K9" s="69"/>
      <c r="L9" s="171"/>
      <c r="M9" s="153">
        <f t="shared" si="0"/>
        <v>110</v>
      </c>
    </row>
    <row r="10" spans="1:13" x14ac:dyDescent="0.3">
      <c r="A10" s="140">
        <v>8</v>
      </c>
      <c r="B10" s="83" t="s">
        <v>178</v>
      </c>
      <c r="C10" s="69"/>
      <c r="D10" s="69">
        <v>56</v>
      </c>
      <c r="E10" s="69">
        <v>10</v>
      </c>
      <c r="F10" s="69"/>
      <c r="G10" s="69"/>
      <c r="H10" s="69"/>
      <c r="I10" s="69">
        <v>44</v>
      </c>
      <c r="J10" s="69"/>
      <c r="K10" s="69"/>
      <c r="L10" s="171"/>
      <c r="M10" s="153">
        <f t="shared" si="0"/>
        <v>110</v>
      </c>
    </row>
    <row r="11" spans="1:13" x14ac:dyDescent="0.3">
      <c r="A11" s="185">
        <v>9</v>
      </c>
      <c r="B11" s="83" t="s">
        <v>181</v>
      </c>
      <c r="C11" s="69"/>
      <c r="D11" s="69">
        <v>50</v>
      </c>
      <c r="E11" s="69">
        <v>4</v>
      </c>
      <c r="F11" s="69"/>
      <c r="G11" s="69"/>
      <c r="H11" s="69"/>
      <c r="I11" s="69">
        <v>24</v>
      </c>
      <c r="J11" s="69"/>
      <c r="K11" s="69"/>
      <c r="L11" s="171"/>
      <c r="M11" s="153">
        <f t="shared" si="0"/>
        <v>78</v>
      </c>
    </row>
    <row r="12" spans="1:13" x14ac:dyDescent="0.3">
      <c r="A12" s="140">
        <v>10</v>
      </c>
      <c r="B12" s="83" t="s">
        <v>179</v>
      </c>
      <c r="C12" s="69"/>
      <c r="D12" s="69"/>
      <c r="E12" s="69">
        <v>7</v>
      </c>
      <c r="F12" s="69">
        <v>8</v>
      </c>
      <c r="G12" s="69">
        <v>1</v>
      </c>
      <c r="H12" s="69"/>
      <c r="I12" s="69">
        <v>56</v>
      </c>
      <c r="J12" s="69"/>
      <c r="K12" s="69"/>
      <c r="L12" s="171"/>
      <c r="M12" s="153">
        <f t="shared" si="0"/>
        <v>72</v>
      </c>
    </row>
    <row r="13" spans="1:13" x14ac:dyDescent="0.3">
      <c r="A13" s="185">
        <v>11</v>
      </c>
      <c r="B13" s="64" t="s">
        <v>292</v>
      </c>
      <c r="C13" s="69"/>
      <c r="D13" s="69">
        <v>40</v>
      </c>
      <c r="E13" s="69">
        <v>5</v>
      </c>
      <c r="F13" s="69"/>
      <c r="G13" s="69"/>
      <c r="H13" s="69"/>
      <c r="I13" s="69"/>
      <c r="J13" s="69">
        <v>18</v>
      </c>
      <c r="K13" s="69"/>
      <c r="L13" s="171"/>
      <c r="M13" s="153">
        <f t="shared" si="0"/>
        <v>63</v>
      </c>
    </row>
    <row r="14" spans="1:13" x14ac:dyDescent="0.3">
      <c r="A14" s="140">
        <v>12</v>
      </c>
      <c r="B14" s="83" t="s">
        <v>191</v>
      </c>
      <c r="C14" s="69"/>
      <c r="D14" s="69"/>
      <c r="E14" s="69"/>
      <c r="F14" s="69"/>
      <c r="G14" s="69"/>
      <c r="H14" s="69"/>
      <c r="I14" s="69">
        <v>16</v>
      </c>
      <c r="J14" s="69">
        <v>3</v>
      </c>
      <c r="K14" s="69">
        <v>9</v>
      </c>
      <c r="L14" s="171">
        <v>18</v>
      </c>
      <c r="M14" s="153">
        <f t="shared" si="0"/>
        <v>46</v>
      </c>
    </row>
    <row r="15" spans="1:13" x14ac:dyDescent="0.3">
      <c r="A15" s="185">
        <v>13</v>
      </c>
      <c r="B15" s="64" t="s">
        <v>293</v>
      </c>
      <c r="C15" s="69"/>
      <c r="D15" s="69">
        <v>36</v>
      </c>
      <c r="E15" s="69"/>
      <c r="F15" s="69"/>
      <c r="G15" s="69"/>
      <c r="H15" s="69"/>
      <c r="I15" s="69"/>
      <c r="J15" s="69"/>
      <c r="K15" s="69"/>
      <c r="L15" s="171"/>
      <c r="M15" s="153">
        <f t="shared" si="0"/>
        <v>36</v>
      </c>
    </row>
    <row r="16" spans="1:13" x14ac:dyDescent="0.3">
      <c r="A16" s="140">
        <v>14</v>
      </c>
      <c r="B16" s="83" t="s">
        <v>186</v>
      </c>
      <c r="C16" s="69"/>
      <c r="D16" s="69">
        <v>16</v>
      </c>
      <c r="E16" s="69">
        <v>3</v>
      </c>
      <c r="F16" s="69"/>
      <c r="G16" s="69"/>
      <c r="H16" s="69"/>
      <c r="I16" s="69">
        <v>14</v>
      </c>
      <c r="J16" s="69"/>
      <c r="K16" s="69"/>
      <c r="L16" s="171"/>
      <c r="M16" s="153">
        <f t="shared" si="0"/>
        <v>33</v>
      </c>
    </row>
    <row r="17" spans="1:13" x14ac:dyDescent="0.3">
      <c r="A17" s="185">
        <v>15</v>
      </c>
      <c r="B17" s="83" t="s">
        <v>184</v>
      </c>
      <c r="C17" s="69"/>
      <c r="D17" s="69"/>
      <c r="E17" s="69"/>
      <c r="F17" s="69"/>
      <c r="G17" s="69"/>
      <c r="H17" s="69"/>
      <c r="I17" s="69">
        <v>32</v>
      </c>
      <c r="J17" s="69"/>
      <c r="K17" s="69"/>
      <c r="L17" s="171"/>
      <c r="M17" s="153">
        <f t="shared" si="0"/>
        <v>32</v>
      </c>
    </row>
    <row r="18" spans="1:13" x14ac:dyDescent="0.3">
      <c r="A18" s="140">
        <v>16</v>
      </c>
      <c r="B18" s="64" t="s">
        <v>225</v>
      </c>
      <c r="C18" s="69"/>
      <c r="D18" s="69"/>
      <c r="E18" s="69"/>
      <c r="F18" s="69">
        <v>4</v>
      </c>
      <c r="G18" s="69">
        <v>6</v>
      </c>
      <c r="H18" s="69"/>
      <c r="I18" s="69"/>
      <c r="J18" s="69"/>
      <c r="K18" s="69">
        <v>21</v>
      </c>
      <c r="L18" s="171"/>
      <c r="M18" s="153">
        <f t="shared" si="0"/>
        <v>31</v>
      </c>
    </row>
    <row r="19" spans="1:13" x14ac:dyDescent="0.3">
      <c r="A19" s="185">
        <v>17</v>
      </c>
      <c r="B19" s="64" t="s">
        <v>241</v>
      </c>
      <c r="C19" s="69"/>
      <c r="D19" s="69"/>
      <c r="E19" s="69"/>
      <c r="F19" s="69">
        <v>2</v>
      </c>
      <c r="G19" s="69"/>
      <c r="H19" s="69">
        <v>3</v>
      </c>
      <c r="I19" s="69"/>
      <c r="J19" s="69">
        <v>9</v>
      </c>
      <c r="K19" s="69"/>
      <c r="L19" s="171">
        <v>7</v>
      </c>
      <c r="M19" s="153">
        <f t="shared" si="0"/>
        <v>21</v>
      </c>
    </row>
    <row r="20" spans="1:13" x14ac:dyDescent="0.3">
      <c r="A20" s="140">
        <v>18</v>
      </c>
      <c r="B20" s="64" t="s">
        <v>294</v>
      </c>
      <c r="C20" s="69"/>
      <c r="D20" s="69"/>
      <c r="E20" s="69"/>
      <c r="F20" s="69">
        <v>10</v>
      </c>
      <c r="G20" s="69">
        <v>9</v>
      </c>
      <c r="H20" s="69"/>
      <c r="I20" s="69"/>
      <c r="J20" s="69"/>
      <c r="K20" s="69"/>
      <c r="L20" s="171"/>
      <c r="M20" s="153">
        <f t="shared" si="0"/>
        <v>19</v>
      </c>
    </row>
    <row r="21" spans="1:13" x14ac:dyDescent="0.3">
      <c r="A21" s="185">
        <v>19</v>
      </c>
      <c r="B21" s="64" t="s">
        <v>296</v>
      </c>
      <c r="C21" s="69"/>
      <c r="D21" s="69"/>
      <c r="E21" s="69"/>
      <c r="F21" s="69"/>
      <c r="G21" s="69"/>
      <c r="H21" s="69">
        <v>13</v>
      </c>
      <c r="I21" s="69"/>
      <c r="J21" s="69"/>
      <c r="K21" s="69"/>
      <c r="L21" s="171"/>
      <c r="M21" s="153">
        <f t="shared" si="0"/>
        <v>13</v>
      </c>
    </row>
    <row r="22" spans="1:13" x14ac:dyDescent="0.3">
      <c r="A22" s="140">
        <v>20</v>
      </c>
      <c r="B22" s="83" t="s">
        <v>188</v>
      </c>
      <c r="C22" s="69"/>
      <c r="D22" s="69"/>
      <c r="E22" s="69"/>
      <c r="F22" s="69"/>
      <c r="G22" s="69"/>
      <c r="H22" s="69"/>
      <c r="I22" s="69">
        <v>12</v>
      </c>
      <c r="J22" s="69"/>
      <c r="K22" s="69"/>
      <c r="L22" s="171"/>
      <c r="M22" s="153">
        <f t="shared" si="0"/>
        <v>12</v>
      </c>
    </row>
    <row r="23" spans="1:13" x14ac:dyDescent="0.3">
      <c r="A23" s="185">
        <v>21</v>
      </c>
      <c r="B23" s="64" t="s">
        <v>110</v>
      </c>
      <c r="C23" s="69"/>
      <c r="D23" s="69"/>
      <c r="E23" s="69">
        <v>6</v>
      </c>
      <c r="F23" s="69"/>
      <c r="G23" s="69">
        <v>4</v>
      </c>
      <c r="H23" s="69"/>
      <c r="I23" s="69"/>
      <c r="J23" s="69"/>
      <c r="K23" s="69"/>
      <c r="L23" s="171"/>
      <c r="M23" s="153">
        <f t="shared" si="0"/>
        <v>10</v>
      </c>
    </row>
    <row r="24" spans="1:13" x14ac:dyDescent="0.3">
      <c r="A24" s="140">
        <v>22</v>
      </c>
      <c r="B24" s="83" t="s">
        <v>187</v>
      </c>
      <c r="C24" s="69"/>
      <c r="D24" s="69"/>
      <c r="E24" s="69"/>
      <c r="F24" s="69">
        <v>3</v>
      </c>
      <c r="G24" s="69">
        <v>2</v>
      </c>
      <c r="H24" s="69"/>
      <c r="I24" s="69"/>
      <c r="J24" s="69"/>
      <c r="K24" s="69">
        <v>4</v>
      </c>
      <c r="L24" s="171">
        <v>1</v>
      </c>
      <c r="M24" s="153">
        <f t="shared" si="0"/>
        <v>10</v>
      </c>
    </row>
    <row r="25" spans="1:13" x14ac:dyDescent="0.3">
      <c r="A25" s="185">
        <v>23</v>
      </c>
      <c r="B25" s="64" t="s">
        <v>297</v>
      </c>
      <c r="C25" s="64"/>
      <c r="D25" s="64"/>
      <c r="E25" s="64"/>
      <c r="F25" s="64"/>
      <c r="G25" s="64"/>
      <c r="H25" s="64"/>
      <c r="I25" s="64"/>
      <c r="J25" s="64"/>
      <c r="K25" s="64"/>
      <c r="L25" s="171">
        <v>8</v>
      </c>
      <c r="M25" s="153">
        <f t="shared" si="0"/>
        <v>8</v>
      </c>
    </row>
    <row r="26" spans="1:13" x14ac:dyDescent="0.3">
      <c r="A26" s="140">
        <v>24</v>
      </c>
      <c r="B26" s="83" t="s">
        <v>189</v>
      </c>
      <c r="C26" s="69"/>
      <c r="D26" s="69">
        <v>6</v>
      </c>
      <c r="E26" s="69"/>
      <c r="F26" s="69"/>
      <c r="G26" s="69"/>
      <c r="H26" s="69"/>
      <c r="I26" s="69"/>
      <c r="J26" s="69"/>
      <c r="K26" s="69"/>
      <c r="L26" s="171"/>
      <c r="M26" s="153">
        <f t="shared" si="0"/>
        <v>6</v>
      </c>
    </row>
    <row r="27" spans="1:13" x14ac:dyDescent="0.3">
      <c r="A27" s="185">
        <v>25</v>
      </c>
      <c r="B27" s="64" t="s">
        <v>125</v>
      </c>
      <c r="C27" s="69"/>
      <c r="D27" s="69"/>
      <c r="E27" s="69"/>
      <c r="F27" s="69"/>
      <c r="G27" s="69"/>
      <c r="H27" s="69"/>
      <c r="I27" s="69"/>
      <c r="J27" s="69"/>
      <c r="K27" s="69">
        <v>1</v>
      </c>
      <c r="L27" s="171">
        <v>5</v>
      </c>
      <c r="M27" s="153">
        <f t="shared" si="0"/>
        <v>6</v>
      </c>
    </row>
    <row r="28" spans="1:13" x14ac:dyDescent="0.3">
      <c r="A28" s="140">
        <v>26</v>
      </c>
      <c r="B28" s="64" t="s">
        <v>107</v>
      </c>
      <c r="C28" s="69"/>
      <c r="D28" s="69"/>
      <c r="E28" s="69">
        <v>2</v>
      </c>
      <c r="F28" s="69">
        <v>3</v>
      </c>
      <c r="G28" s="69"/>
      <c r="H28" s="69"/>
      <c r="I28" s="69"/>
      <c r="J28" s="69"/>
      <c r="K28" s="69"/>
      <c r="L28" s="171"/>
      <c r="M28" s="153">
        <f t="shared" si="0"/>
        <v>5</v>
      </c>
    </row>
    <row r="29" spans="1:13" x14ac:dyDescent="0.3">
      <c r="A29" s="185">
        <v>27</v>
      </c>
      <c r="B29" s="83" t="s">
        <v>104</v>
      </c>
      <c r="C29" s="69"/>
      <c r="D29" s="69"/>
      <c r="E29" s="69"/>
      <c r="F29" s="69">
        <v>3</v>
      </c>
      <c r="G29" s="69"/>
      <c r="H29" s="69"/>
      <c r="I29" s="69"/>
      <c r="J29" s="69"/>
      <c r="K29" s="69"/>
      <c r="L29" s="171"/>
      <c r="M29" s="153">
        <f t="shared" si="0"/>
        <v>3</v>
      </c>
    </row>
    <row r="30" spans="1:13" x14ac:dyDescent="0.3">
      <c r="A30" s="140">
        <v>28</v>
      </c>
      <c r="B30" s="64" t="s">
        <v>200</v>
      </c>
      <c r="C30" s="69"/>
      <c r="D30" s="69"/>
      <c r="E30" s="69"/>
      <c r="F30" s="69"/>
      <c r="G30" s="69"/>
      <c r="H30" s="69"/>
      <c r="I30" s="69"/>
      <c r="J30" s="69">
        <v>1</v>
      </c>
      <c r="K30" s="69"/>
      <c r="L30" s="171"/>
      <c r="M30" s="153">
        <f t="shared" si="0"/>
        <v>1</v>
      </c>
    </row>
    <row r="31" spans="1:13" ht="15" thickBot="1" x14ac:dyDescent="0.35">
      <c r="A31" s="141">
        <v>29</v>
      </c>
      <c r="B31" s="127" t="s">
        <v>295</v>
      </c>
      <c r="C31" s="128"/>
      <c r="D31" s="128"/>
      <c r="E31" s="128"/>
      <c r="F31" s="128">
        <v>1</v>
      </c>
      <c r="G31" s="128"/>
      <c r="H31" s="128"/>
      <c r="I31" s="128"/>
      <c r="J31" s="128"/>
      <c r="K31" s="128"/>
      <c r="L31" s="184"/>
      <c r="M31" s="154">
        <f t="shared" si="0"/>
        <v>1</v>
      </c>
    </row>
    <row r="41" spans="11:21" ht="15" thickBot="1" x14ac:dyDescent="0.35"/>
    <row r="42" spans="11:21" ht="15" thickBot="1" x14ac:dyDescent="0.35">
      <c r="M42" s="57" t="s">
        <v>45</v>
      </c>
      <c r="N42" s="262" t="s">
        <v>46</v>
      </c>
      <c r="O42" s="262"/>
      <c r="P42" s="262"/>
      <c r="Q42" s="262"/>
      <c r="R42" s="262"/>
      <c r="S42" s="262"/>
      <c r="T42" s="262" t="s">
        <v>74</v>
      </c>
      <c r="U42" s="263"/>
    </row>
    <row r="43" spans="11:21" x14ac:dyDescent="0.3">
      <c r="K43" s="134"/>
      <c r="L43" s="134"/>
      <c r="M43" s="85">
        <v>1</v>
      </c>
      <c r="N43" s="271" t="s">
        <v>47</v>
      </c>
      <c r="O43" s="272"/>
      <c r="P43" s="272"/>
      <c r="Q43" s="272"/>
      <c r="R43" s="272"/>
      <c r="S43" s="273"/>
      <c r="T43" s="264" t="s">
        <v>58</v>
      </c>
      <c r="U43" s="265"/>
    </row>
    <row r="44" spans="11:21" x14ac:dyDescent="0.3">
      <c r="K44" s="134"/>
      <c r="L44" s="134"/>
      <c r="M44" s="84">
        <v>2</v>
      </c>
      <c r="N44" s="259" t="s">
        <v>48</v>
      </c>
      <c r="O44" s="260"/>
      <c r="P44" s="260"/>
      <c r="Q44" s="260"/>
      <c r="R44" s="260"/>
      <c r="S44" s="261"/>
      <c r="T44" s="255" t="s">
        <v>65</v>
      </c>
      <c r="U44" s="256"/>
    </row>
    <row r="45" spans="11:21" x14ac:dyDescent="0.3">
      <c r="K45" s="134"/>
      <c r="L45" s="134"/>
      <c r="M45" s="89">
        <v>3</v>
      </c>
      <c r="N45" s="338" t="s">
        <v>175</v>
      </c>
      <c r="O45" s="339"/>
      <c r="P45" s="339"/>
      <c r="Q45" s="339"/>
      <c r="R45" s="339"/>
      <c r="S45" s="340"/>
      <c r="T45" s="338" t="s">
        <v>176</v>
      </c>
      <c r="U45" s="341"/>
    </row>
    <row r="46" spans="11:21" x14ac:dyDescent="0.3">
      <c r="K46" s="134"/>
      <c r="L46" s="134"/>
      <c r="M46" s="84">
        <v>4</v>
      </c>
      <c r="N46" s="259" t="s">
        <v>49</v>
      </c>
      <c r="O46" s="260"/>
      <c r="P46" s="260"/>
      <c r="Q46" s="260"/>
      <c r="R46" s="260"/>
      <c r="S46" s="261"/>
      <c r="T46" s="255" t="s">
        <v>66</v>
      </c>
      <c r="U46" s="256"/>
    </row>
    <row r="47" spans="11:21" x14ac:dyDescent="0.3">
      <c r="K47" s="134"/>
      <c r="L47" s="134"/>
      <c r="M47" s="89">
        <v>5</v>
      </c>
      <c r="N47" s="338" t="s">
        <v>69</v>
      </c>
      <c r="O47" s="339"/>
      <c r="P47" s="339"/>
      <c r="Q47" s="339"/>
      <c r="R47" s="339"/>
      <c r="S47" s="340"/>
      <c r="T47" s="241" t="s">
        <v>59</v>
      </c>
      <c r="U47" s="342"/>
    </row>
    <row r="48" spans="11:21" x14ac:dyDescent="0.3">
      <c r="K48" s="134"/>
      <c r="L48" s="134"/>
      <c r="M48" s="91">
        <v>6</v>
      </c>
      <c r="N48" s="338" t="s">
        <v>70</v>
      </c>
      <c r="O48" s="339"/>
      <c r="P48" s="339"/>
      <c r="Q48" s="339"/>
      <c r="R48" s="339"/>
      <c r="S48" s="340"/>
      <c r="T48" s="241" t="s">
        <v>67</v>
      </c>
      <c r="U48" s="342"/>
    </row>
    <row r="49" spans="11:21" x14ac:dyDescent="0.3">
      <c r="K49" s="134"/>
      <c r="L49" s="134"/>
      <c r="M49" s="85">
        <v>7</v>
      </c>
      <c r="N49" s="259" t="s">
        <v>50</v>
      </c>
      <c r="O49" s="260"/>
      <c r="P49" s="260"/>
      <c r="Q49" s="260"/>
      <c r="R49" s="260"/>
      <c r="S49" s="261"/>
      <c r="T49" s="255" t="s">
        <v>60</v>
      </c>
      <c r="U49" s="256"/>
    </row>
    <row r="50" spans="11:21" x14ac:dyDescent="0.3">
      <c r="K50" s="134"/>
      <c r="L50" s="134"/>
      <c r="M50" s="84">
        <v>8</v>
      </c>
      <c r="N50" s="259" t="s">
        <v>51</v>
      </c>
      <c r="O50" s="260"/>
      <c r="P50" s="260"/>
      <c r="Q50" s="260"/>
      <c r="R50" s="260"/>
      <c r="S50" s="261"/>
      <c r="T50" s="255" t="s">
        <v>64</v>
      </c>
      <c r="U50" s="256"/>
    </row>
    <row r="51" spans="11:21" x14ac:dyDescent="0.3">
      <c r="K51" s="134"/>
      <c r="L51" s="134"/>
      <c r="M51" s="85">
        <v>9</v>
      </c>
      <c r="N51" s="259" t="s">
        <v>52</v>
      </c>
      <c r="O51" s="260"/>
      <c r="P51" s="260"/>
      <c r="Q51" s="260"/>
      <c r="R51" s="260"/>
      <c r="S51" s="261"/>
      <c r="T51" s="255" t="s">
        <v>61</v>
      </c>
      <c r="U51" s="256"/>
    </row>
    <row r="52" spans="11:21" x14ac:dyDescent="0.3">
      <c r="K52" s="134"/>
      <c r="L52" s="134"/>
      <c r="M52" s="91">
        <v>10</v>
      </c>
      <c r="N52" s="338" t="s">
        <v>62</v>
      </c>
      <c r="O52" s="339"/>
      <c r="P52" s="339"/>
      <c r="Q52" s="339"/>
      <c r="R52" s="339"/>
      <c r="S52" s="340"/>
      <c r="T52" s="338" t="s">
        <v>63</v>
      </c>
      <c r="U52" s="341"/>
    </row>
    <row r="53" spans="11:21" x14ac:dyDescent="0.3">
      <c r="K53" s="134"/>
      <c r="L53" s="134"/>
      <c r="M53" s="89">
        <v>11</v>
      </c>
      <c r="N53" s="338" t="s">
        <v>68</v>
      </c>
      <c r="O53" s="339"/>
      <c r="P53" s="339"/>
      <c r="Q53" s="339"/>
      <c r="R53" s="339"/>
      <c r="S53" s="340"/>
      <c r="T53" s="241" t="s">
        <v>71</v>
      </c>
      <c r="U53" s="342"/>
    </row>
    <row r="54" spans="11:21" x14ac:dyDescent="0.3">
      <c r="K54" s="134"/>
      <c r="L54" s="134"/>
      <c r="M54" s="84">
        <v>12</v>
      </c>
      <c r="N54" s="259" t="s">
        <v>72</v>
      </c>
      <c r="O54" s="260"/>
      <c r="P54" s="260"/>
      <c r="Q54" s="260"/>
      <c r="R54" s="260"/>
      <c r="S54" s="261"/>
      <c r="T54" s="255" t="s">
        <v>73</v>
      </c>
      <c r="U54" s="256"/>
    </row>
    <row r="55" spans="11:21" x14ac:dyDescent="0.3">
      <c r="K55" s="134"/>
      <c r="L55" s="134"/>
      <c r="M55" s="85">
        <v>13</v>
      </c>
      <c r="N55" s="274" t="s">
        <v>53</v>
      </c>
      <c r="O55" s="275"/>
      <c r="P55" s="275"/>
      <c r="Q55" s="275"/>
      <c r="R55" s="275"/>
      <c r="S55" s="276"/>
      <c r="T55" s="266" t="s">
        <v>75</v>
      </c>
      <c r="U55" s="267"/>
    </row>
    <row r="56" spans="11:21" x14ac:dyDescent="0.3">
      <c r="K56" s="134"/>
      <c r="L56" s="134"/>
      <c r="M56" s="91">
        <v>14</v>
      </c>
      <c r="N56" s="338" t="s">
        <v>77</v>
      </c>
      <c r="O56" s="339"/>
      <c r="P56" s="339"/>
      <c r="Q56" s="339"/>
      <c r="R56" s="339"/>
      <c r="S56" s="340"/>
      <c r="T56" s="241" t="s">
        <v>76</v>
      </c>
      <c r="U56" s="342"/>
    </row>
    <row r="57" spans="11:21" x14ac:dyDescent="0.3">
      <c r="K57" s="134"/>
      <c r="L57" s="134"/>
      <c r="M57" s="89">
        <v>15</v>
      </c>
      <c r="N57" s="338" t="s">
        <v>54</v>
      </c>
      <c r="O57" s="339"/>
      <c r="P57" s="339"/>
      <c r="Q57" s="339"/>
      <c r="R57" s="339"/>
      <c r="S57" s="340"/>
      <c r="T57" s="338" t="s">
        <v>78</v>
      </c>
      <c r="U57" s="341"/>
    </row>
    <row r="58" spans="11:21" x14ac:dyDescent="0.3">
      <c r="K58" s="134"/>
      <c r="L58" s="134"/>
      <c r="M58" s="91">
        <v>16</v>
      </c>
      <c r="N58" s="338" t="s">
        <v>79</v>
      </c>
      <c r="O58" s="339"/>
      <c r="P58" s="339"/>
      <c r="Q58" s="339"/>
      <c r="R58" s="339"/>
      <c r="S58" s="340"/>
      <c r="T58" s="338" t="s">
        <v>80</v>
      </c>
      <c r="U58" s="341"/>
    </row>
    <row r="59" spans="11:21" x14ac:dyDescent="0.3">
      <c r="K59" s="134"/>
      <c r="L59" s="134"/>
      <c r="M59" s="89">
        <v>17</v>
      </c>
      <c r="N59" s="338" t="s">
        <v>55</v>
      </c>
      <c r="O59" s="339"/>
      <c r="P59" s="339"/>
      <c r="Q59" s="339"/>
      <c r="R59" s="339"/>
      <c r="S59" s="340"/>
      <c r="T59" s="338" t="s">
        <v>81</v>
      </c>
      <c r="U59" s="341"/>
    </row>
    <row r="60" spans="11:21" x14ac:dyDescent="0.3">
      <c r="K60" s="134"/>
      <c r="L60" s="134"/>
      <c r="M60" s="91">
        <v>18</v>
      </c>
      <c r="N60" s="338" t="s">
        <v>56</v>
      </c>
      <c r="O60" s="339"/>
      <c r="P60" s="339"/>
      <c r="Q60" s="339"/>
      <c r="R60" s="339"/>
      <c r="S60" s="340"/>
      <c r="T60" s="338" t="s">
        <v>82</v>
      </c>
      <c r="U60" s="341"/>
    </row>
    <row r="61" spans="11:21" x14ac:dyDescent="0.3">
      <c r="K61" s="134"/>
      <c r="L61" s="134"/>
      <c r="M61" s="85">
        <v>19</v>
      </c>
      <c r="N61" s="259" t="s">
        <v>57</v>
      </c>
      <c r="O61" s="260"/>
      <c r="P61" s="260"/>
      <c r="Q61" s="260"/>
      <c r="R61" s="260"/>
      <c r="S61" s="261"/>
      <c r="T61" s="259" t="s">
        <v>83</v>
      </c>
      <c r="U61" s="268"/>
    </row>
    <row r="62" spans="11:21" x14ac:dyDescent="0.3">
      <c r="K62" s="134"/>
      <c r="L62" s="134"/>
      <c r="M62" s="84">
        <v>20</v>
      </c>
      <c r="N62" s="259" t="s">
        <v>84</v>
      </c>
      <c r="O62" s="260"/>
      <c r="P62" s="260"/>
      <c r="Q62" s="260"/>
      <c r="R62" s="260"/>
      <c r="S62" s="261"/>
      <c r="T62" s="259" t="s">
        <v>85</v>
      </c>
      <c r="U62" s="268"/>
    </row>
    <row r="63" spans="11:21" ht="15" thickBot="1" x14ac:dyDescent="0.35">
      <c r="K63" s="134"/>
      <c r="L63" s="134"/>
      <c r="M63" s="181">
        <v>21</v>
      </c>
      <c r="N63" s="343" t="s">
        <v>86</v>
      </c>
      <c r="O63" s="345"/>
      <c r="P63" s="345"/>
      <c r="Q63" s="345"/>
      <c r="R63" s="345"/>
      <c r="S63" s="346"/>
      <c r="T63" s="343" t="s">
        <v>87</v>
      </c>
      <c r="U63" s="344"/>
    </row>
    <row r="64" spans="11:21" x14ac:dyDescent="0.3">
      <c r="K64" s="134"/>
      <c r="L64" s="134"/>
    </row>
  </sheetData>
  <sortState ref="B3:M31">
    <sortCondition descending="1" ref="M3:M31"/>
  </sortState>
  <mergeCells count="45">
    <mergeCell ref="T60:U60"/>
    <mergeCell ref="T61:U61"/>
    <mergeCell ref="T62:U62"/>
    <mergeCell ref="T63:U63"/>
    <mergeCell ref="N60:S60"/>
    <mergeCell ref="N61:S61"/>
    <mergeCell ref="N62:S62"/>
    <mergeCell ref="N63:S63"/>
    <mergeCell ref="N57:S57"/>
    <mergeCell ref="N58:S58"/>
    <mergeCell ref="N59:S59"/>
    <mergeCell ref="T57:U57"/>
    <mergeCell ref="T58:U58"/>
    <mergeCell ref="T59:U59"/>
    <mergeCell ref="N56:S56"/>
    <mergeCell ref="T56:U56"/>
    <mergeCell ref="N53:S53"/>
    <mergeCell ref="T53:U53"/>
    <mergeCell ref="N54:S54"/>
    <mergeCell ref="T54:U54"/>
    <mergeCell ref="N55:S55"/>
    <mergeCell ref="T55:U55"/>
    <mergeCell ref="N50:S50"/>
    <mergeCell ref="T50:U50"/>
    <mergeCell ref="N51:S51"/>
    <mergeCell ref="T51:U51"/>
    <mergeCell ref="N52:S52"/>
    <mergeCell ref="T52:U52"/>
    <mergeCell ref="N47:S47"/>
    <mergeCell ref="T47:U47"/>
    <mergeCell ref="N48:S48"/>
    <mergeCell ref="T48:U48"/>
    <mergeCell ref="N49:S49"/>
    <mergeCell ref="T49:U49"/>
    <mergeCell ref="N44:S44"/>
    <mergeCell ref="T44:U44"/>
    <mergeCell ref="N45:S45"/>
    <mergeCell ref="T45:U45"/>
    <mergeCell ref="N46:S46"/>
    <mergeCell ref="T46:U46"/>
    <mergeCell ref="A1:M1"/>
    <mergeCell ref="N42:S42"/>
    <mergeCell ref="T42:U42"/>
    <mergeCell ref="N43:S43"/>
    <mergeCell ref="T43:U43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F21" sqref="F21"/>
    </sheetView>
  </sheetViews>
  <sheetFormatPr defaultRowHeight="14.4" x14ac:dyDescent="0.3"/>
  <cols>
    <col min="2" max="2" width="21.77734375" customWidth="1"/>
    <col min="3" max="7" width="9.77734375" customWidth="1"/>
  </cols>
  <sheetData>
    <row r="1" spans="1:24" x14ac:dyDescent="0.3">
      <c r="A1" s="301" t="s">
        <v>92</v>
      </c>
      <c r="B1" s="302"/>
      <c r="C1" s="302"/>
      <c r="D1" s="302"/>
      <c r="E1" s="302"/>
      <c r="F1" s="302"/>
      <c r="G1" s="302"/>
      <c r="H1" s="302"/>
      <c r="I1" s="302"/>
      <c r="J1" s="302"/>
      <c r="K1" s="303"/>
    </row>
    <row r="2" spans="1:24" ht="15" customHeight="1" thickBot="1" x14ac:dyDescent="0.35">
      <c r="A2" s="304"/>
      <c r="B2" s="305"/>
      <c r="C2" s="305"/>
      <c r="D2" s="305"/>
      <c r="E2" s="305"/>
      <c r="F2" s="305"/>
      <c r="G2" s="305"/>
      <c r="H2" s="305"/>
      <c r="I2" s="305"/>
      <c r="J2" s="305"/>
      <c r="K2" s="306"/>
    </row>
    <row r="3" spans="1:24" ht="15" thickBot="1" x14ac:dyDescent="0.35">
      <c r="A3" s="113" t="s">
        <v>89</v>
      </c>
      <c r="B3" s="99" t="s">
        <v>90</v>
      </c>
      <c r="C3" s="86">
        <v>2</v>
      </c>
      <c r="D3" s="86">
        <v>4</v>
      </c>
      <c r="E3" s="86">
        <v>7</v>
      </c>
      <c r="F3" s="86">
        <v>8</v>
      </c>
      <c r="G3" s="86">
        <v>9</v>
      </c>
      <c r="H3" s="114">
        <v>12</v>
      </c>
      <c r="I3" s="136">
        <v>13</v>
      </c>
      <c r="J3" s="136">
        <v>20</v>
      </c>
      <c r="K3" s="173" t="s">
        <v>91</v>
      </c>
    </row>
    <row r="4" spans="1:24" x14ac:dyDescent="0.3">
      <c r="A4" s="131">
        <v>1</v>
      </c>
      <c r="B4" s="97" t="s">
        <v>192</v>
      </c>
      <c r="C4" s="87">
        <v>62.5</v>
      </c>
      <c r="D4" s="87">
        <v>13</v>
      </c>
      <c r="E4" s="87"/>
      <c r="F4" s="87"/>
      <c r="G4" s="87"/>
      <c r="H4" s="87">
        <v>59</v>
      </c>
      <c r="I4" s="87">
        <v>20</v>
      </c>
      <c r="J4" s="143"/>
      <c r="K4" s="174">
        <f t="shared" ref="K4:K19" si="0">SUM(C4:J4)</f>
        <v>154.5</v>
      </c>
    </row>
    <row r="5" spans="1:24" x14ac:dyDescent="0.3">
      <c r="A5" s="124">
        <v>2</v>
      </c>
      <c r="B5" s="64" t="s">
        <v>193</v>
      </c>
      <c r="C5" s="69">
        <v>44</v>
      </c>
      <c r="D5" s="69"/>
      <c r="E5" s="69"/>
      <c r="F5" s="69">
        <v>20</v>
      </c>
      <c r="G5" s="69"/>
      <c r="H5" s="69">
        <v>31</v>
      </c>
      <c r="I5" s="87">
        <v>9</v>
      </c>
      <c r="J5" s="143">
        <v>20</v>
      </c>
      <c r="K5" s="174">
        <f t="shared" si="0"/>
        <v>124</v>
      </c>
    </row>
    <row r="6" spans="1:24" x14ac:dyDescent="0.3">
      <c r="A6" s="124">
        <v>3</v>
      </c>
      <c r="B6" s="64" t="s">
        <v>194</v>
      </c>
      <c r="C6" s="69">
        <v>27</v>
      </c>
      <c r="D6" s="69">
        <v>8</v>
      </c>
      <c r="E6" s="69"/>
      <c r="F6" s="69"/>
      <c r="G6" s="69"/>
      <c r="H6" s="69">
        <v>38</v>
      </c>
      <c r="I6" s="87">
        <v>17</v>
      </c>
      <c r="J6" s="143"/>
      <c r="K6" s="174">
        <f t="shared" si="0"/>
        <v>90</v>
      </c>
    </row>
    <row r="7" spans="1:24" x14ac:dyDescent="0.3">
      <c r="A7" s="124">
        <v>4</v>
      </c>
      <c r="B7" s="64" t="s">
        <v>196</v>
      </c>
      <c r="C7" s="69">
        <v>52.5</v>
      </c>
      <c r="D7" s="69"/>
      <c r="E7" s="69"/>
      <c r="F7" s="69">
        <v>12.5</v>
      </c>
      <c r="G7" s="69">
        <v>11</v>
      </c>
      <c r="H7" s="69">
        <v>12</v>
      </c>
      <c r="I7" s="87">
        <v>2</v>
      </c>
      <c r="J7" s="143"/>
      <c r="K7" s="174">
        <f t="shared" si="0"/>
        <v>90</v>
      </c>
    </row>
    <row r="8" spans="1:24" x14ac:dyDescent="0.3">
      <c r="A8" s="124">
        <v>5</v>
      </c>
      <c r="B8" s="64" t="s">
        <v>195</v>
      </c>
      <c r="C8" s="69"/>
      <c r="D8" s="69">
        <v>6</v>
      </c>
      <c r="E8" s="69"/>
      <c r="F8" s="69">
        <v>7.5</v>
      </c>
      <c r="G8" s="69"/>
      <c r="H8" s="69">
        <v>30</v>
      </c>
      <c r="I8" s="87"/>
      <c r="J8" s="143"/>
      <c r="K8" s="174">
        <f t="shared" si="0"/>
        <v>43.5</v>
      </c>
    </row>
    <row r="9" spans="1:24" x14ac:dyDescent="0.3">
      <c r="A9" s="124">
        <v>6</v>
      </c>
      <c r="B9" s="64" t="s">
        <v>180</v>
      </c>
      <c r="C9" s="69">
        <v>6</v>
      </c>
      <c r="D9" s="69"/>
      <c r="E9" s="69"/>
      <c r="F9" s="69"/>
      <c r="G9" s="69"/>
      <c r="H9" s="69"/>
      <c r="I9" s="87">
        <v>15</v>
      </c>
      <c r="J9" s="143"/>
      <c r="K9" s="174">
        <f t="shared" si="0"/>
        <v>21</v>
      </c>
    </row>
    <row r="10" spans="1:24" x14ac:dyDescent="0.3">
      <c r="A10" s="124">
        <v>7</v>
      </c>
      <c r="B10" s="64" t="s">
        <v>226</v>
      </c>
      <c r="C10" s="64"/>
      <c r="D10" s="64"/>
      <c r="E10" s="69">
        <v>15</v>
      </c>
      <c r="F10" s="69"/>
      <c r="G10" s="69"/>
      <c r="H10" s="64"/>
      <c r="I10" s="97"/>
      <c r="J10" s="143"/>
      <c r="K10" s="174">
        <f t="shared" si="0"/>
        <v>15</v>
      </c>
    </row>
    <row r="11" spans="1:24" x14ac:dyDescent="0.3">
      <c r="A11" s="124">
        <v>8</v>
      </c>
      <c r="B11" s="64" t="s">
        <v>298</v>
      </c>
      <c r="C11" s="69"/>
      <c r="D11" s="69"/>
      <c r="E11" s="69"/>
      <c r="F11" s="69"/>
      <c r="G11" s="69">
        <v>6</v>
      </c>
      <c r="H11" s="69"/>
      <c r="I11" s="87"/>
      <c r="J11" s="143"/>
      <c r="K11" s="174">
        <f t="shared" si="0"/>
        <v>6</v>
      </c>
    </row>
    <row r="12" spans="1:24" x14ac:dyDescent="0.3">
      <c r="A12" s="124">
        <v>9</v>
      </c>
      <c r="B12" s="64" t="s">
        <v>179</v>
      </c>
      <c r="C12" s="64"/>
      <c r="D12" s="64"/>
      <c r="E12" s="115">
        <v>6</v>
      </c>
      <c r="F12" s="115"/>
      <c r="G12" s="115"/>
      <c r="H12" s="64"/>
      <c r="I12" s="97"/>
      <c r="J12" s="143"/>
      <c r="K12" s="174">
        <f t="shared" si="0"/>
        <v>6</v>
      </c>
    </row>
    <row r="13" spans="1:24" ht="15" thickBot="1" x14ac:dyDescent="0.35">
      <c r="A13" s="124">
        <v>10</v>
      </c>
      <c r="B13" s="64" t="s">
        <v>182</v>
      </c>
      <c r="C13" s="64"/>
      <c r="D13" s="64"/>
      <c r="E13" s="69">
        <v>5</v>
      </c>
      <c r="F13" s="69"/>
      <c r="G13" s="69"/>
      <c r="H13" s="64"/>
      <c r="I13" s="97"/>
      <c r="J13" s="143"/>
      <c r="K13" s="174">
        <f t="shared" si="0"/>
        <v>5</v>
      </c>
    </row>
    <row r="14" spans="1:24" ht="15" thickBot="1" x14ac:dyDescent="0.35">
      <c r="A14" s="124">
        <v>11</v>
      </c>
      <c r="B14" s="64" t="s">
        <v>224</v>
      </c>
      <c r="C14" s="64"/>
      <c r="D14" s="69">
        <v>5</v>
      </c>
      <c r="E14" s="69"/>
      <c r="F14" s="69"/>
      <c r="G14" s="69"/>
      <c r="H14" s="64"/>
      <c r="I14" s="97"/>
      <c r="J14" s="143"/>
      <c r="K14" s="174">
        <f t="shared" si="0"/>
        <v>5</v>
      </c>
      <c r="N14" s="134"/>
      <c r="O14" s="57" t="s">
        <v>45</v>
      </c>
      <c r="P14" s="262" t="s">
        <v>46</v>
      </c>
      <c r="Q14" s="262"/>
      <c r="R14" s="262"/>
      <c r="S14" s="262"/>
      <c r="T14" s="262"/>
      <c r="U14" s="262"/>
      <c r="V14" s="262"/>
      <c r="W14" s="328" t="s">
        <v>74</v>
      </c>
      <c r="X14" s="329"/>
    </row>
    <row r="15" spans="1:24" x14ac:dyDescent="0.3">
      <c r="A15" s="124">
        <v>12</v>
      </c>
      <c r="B15" s="64" t="s">
        <v>153</v>
      </c>
      <c r="C15" s="64"/>
      <c r="D15" s="64"/>
      <c r="E15" s="115">
        <v>4</v>
      </c>
      <c r="F15" s="115"/>
      <c r="G15" s="115"/>
      <c r="H15" s="64"/>
      <c r="I15" s="97"/>
      <c r="J15" s="143"/>
      <c r="K15" s="174">
        <f t="shared" si="0"/>
        <v>4</v>
      </c>
      <c r="N15" s="134"/>
      <c r="O15" s="89">
        <v>1</v>
      </c>
      <c r="P15" s="312" t="s">
        <v>47</v>
      </c>
      <c r="Q15" s="313"/>
      <c r="R15" s="313"/>
      <c r="S15" s="313"/>
      <c r="T15" s="313"/>
      <c r="U15" s="313"/>
      <c r="V15" s="314"/>
      <c r="W15" s="347" t="s">
        <v>58</v>
      </c>
      <c r="X15" s="348"/>
    </row>
    <row r="16" spans="1:24" x14ac:dyDescent="0.3">
      <c r="A16" s="124">
        <v>13</v>
      </c>
      <c r="B16" s="64" t="s">
        <v>221</v>
      </c>
      <c r="C16" s="64"/>
      <c r="D16" s="69">
        <v>2</v>
      </c>
      <c r="E16" s="69"/>
      <c r="F16" s="69"/>
      <c r="G16" s="69">
        <v>2</v>
      </c>
      <c r="H16" s="64"/>
      <c r="I16" s="97"/>
      <c r="J16" s="143"/>
      <c r="K16" s="174">
        <f t="shared" si="0"/>
        <v>4</v>
      </c>
      <c r="N16" s="134"/>
      <c r="O16" s="84">
        <v>2</v>
      </c>
      <c r="P16" s="259" t="s">
        <v>48</v>
      </c>
      <c r="Q16" s="260"/>
      <c r="R16" s="260"/>
      <c r="S16" s="260"/>
      <c r="T16" s="260"/>
      <c r="U16" s="260"/>
      <c r="V16" s="261"/>
      <c r="W16" s="259" t="s">
        <v>65</v>
      </c>
      <c r="X16" s="268"/>
    </row>
    <row r="17" spans="1:24" x14ac:dyDescent="0.3">
      <c r="A17" s="124">
        <v>14</v>
      </c>
      <c r="B17" s="64" t="s">
        <v>228</v>
      </c>
      <c r="C17" s="64"/>
      <c r="D17" s="64"/>
      <c r="E17" s="64"/>
      <c r="F17" s="69">
        <v>2.5</v>
      </c>
      <c r="G17" s="69"/>
      <c r="H17" s="64"/>
      <c r="I17" s="97"/>
      <c r="J17" s="143"/>
      <c r="K17" s="174">
        <f t="shared" si="0"/>
        <v>2.5</v>
      </c>
      <c r="N17" s="134"/>
      <c r="O17" s="89">
        <v>3</v>
      </c>
      <c r="P17" s="338" t="s">
        <v>175</v>
      </c>
      <c r="Q17" s="339"/>
      <c r="R17" s="339"/>
      <c r="S17" s="339"/>
      <c r="T17" s="339"/>
      <c r="U17" s="339"/>
      <c r="V17" s="340"/>
      <c r="W17" s="107" t="s">
        <v>176</v>
      </c>
      <c r="X17" s="108"/>
    </row>
    <row r="18" spans="1:24" x14ac:dyDescent="0.3">
      <c r="A18" s="124">
        <v>15</v>
      </c>
      <c r="B18" s="81" t="s">
        <v>227</v>
      </c>
      <c r="C18" s="64"/>
      <c r="D18" s="64"/>
      <c r="E18" s="69">
        <v>1</v>
      </c>
      <c r="F18" s="69"/>
      <c r="G18" s="69"/>
      <c r="H18" s="64"/>
      <c r="I18" s="97"/>
      <c r="J18" s="143"/>
      <c r="K18" s="174">
        <f t="shared" si="0"/>
        <v>1</v>
      </c>
      <c r="N18" s="134"/>
      <c r="O18" s="84">
        <v>4</v>
      </c>
      <c r="P18" s="259" t="s">
        <v>49</v>
      </c>
      <c r="Q18" s="260"/>
      <c r="R18" s="260"/>
      <c r="S18" s="260"/>
      <c r="T18" s="260"/>
      <c r="U18" s="260"/>
      <c r="V18" s="261"/>
      <c r="W18" s="103" t="s">
        <v>66</v>
      </c>
      <c r="X18" s="104"/>
    </row>
    <row r="19" spans="1:24" ht="15" thickBot="1" x14ac:dyDescent="0.35">
      <c r="A19" s="126">
        <v>16</v>
      </c>
      <c r="B19" s="127" t="s">
        <v>112</v>
      </c>
      <c r="C19" s="127"/>
      <c r="D19" s="127"/>
      <c r="E19" s="128">
        <v>1</v>
      </c>
      <c r="F19" s="128"/>
      <c r="G19" s="128"/>
      <c r="H19" s="127"/>
      <c r="I19" s="127"/>
      <c r="J19" s="184"/>
      <c r="K19" s="175">
        <f t="shared" si="0"/>
        <v>1</v>
      </c>
      <c r="N19" s="134"/>
      <c r="O19" s="89">
        <v>5</v>
      </c>
      <c r="P19" s="338" t="s">
        <v>69</v>
      </c>
      <c r="Q19" s="339"/>
      <c r="R19" s="339"/>
      <c r="S19" s="339"/>
      <c r="T19" s="339"/>
      <c r="U19" s="339"/>
      <c r="V19" s="340"/>
      <c r="W19" s="109" t="s">
        <v>59</v>
      </c>
      <c r="X19" s="110"/>
    </row>
    <row r="20" spans="1:24" x14ac:dyDescent="0.3">
      <c r="A20" s="55"/>
      <c r="C20" s="116"/>
      <c r="N20" s="134"/>
      <c r="O20" s="91">
        <v>6</v>
      </c>
      <c r="P20" s="338" t="s">
        <v>69</v>
      </c>
      <c r="Q20" s="339"/>
      <c r="R20" s="339"/>
      <c r="S20" s="339"/>
      <c r="T20" s="339"/>
      <c r="U20" s="339"/>
      <c r="V20" s="340"/>
      <c r="W20" s="109" t="s">
        <v>67</v>
      </c>
      <c r="X20" s="110"/>
    </row>
    <row r="21" spans="1:24" x14ac:dyDescent="0.3">
      <c r="A21" s="55"/>
      <c r="N21" s="134"/>
      <c r="O21" s="85">
        <v>7</v>
      </c>
      <c r="P21" s="259" t="s">
        <v>50</v>
      </c>
      <c r="Q21" s="260"/>
      <c r="R21" s="260"/>
      <c r="S21" s="260"/>
      <c r="T21" s="260"/>
      <c r="U21" s="260"/>
      <c r="V21" s="261"/>
      <c r="W21" s="103" t="s">
        <v>60</v>
      </c>
      <c r="X21" s="104"/>
    </row>
    <row r="22" spans="1:24" x14ac:dyDescent="0.3">
      <c r="A22" s="55"/>
      <c r="N22" s="134"/>
      <c r="O22" s="84">
        <v>8</v>
      </c>
      <c r="P22" s="259" t="s">
        <v>51</v>
      </c>
      <c r="Q22" s="260"/>
      <c r="R22" s="260"/>
      <c r="S22" s="260"/>
      <c r="T22" s="260"/>
      <c r="U22" s="260"/>
      <c r="V22" s="261"/>
      <c r="W22" s="103" t="s">
        <v>64</v>
      </c>
      <c r="X22" s="104"/>
    </row>
    <row r="23" spans="1:24" x14ac:dyDescent="0.3">
      <c r="A23" s="55"/>
      <c r="N23" s="134"/>
      <c r="O23" s="85">
        <v>9</v>
      </c>
      <c r="P23" s="259" t="s">
        <v>52</v>
      </c>
      <c r="Q23" s="260"/>
      <c r="R23" s="260"/>
      <c r="S23" s="260"/>
      <c r="T23" s="260"/>
      <c r="U23" s="260"/>
      <c r="V23" s="261"/>
      <c r="W23" s="103" t="s">
        <v>61</v>
      </c>
      <c r="X23" s="104"/>
    </row>
    <row r="24" spans="1:24" x14ac:dyDescent="0.3">
      <c r="N24" s="134"/>
      <c r="O24" s="91">
        <v>10</v>
      </c>
      <c r="P24" s="338" t="s">
        <v>62</v>
      </c>
      <c r="Q24" s="339"/>
      <c r="R24" s="339"/>
      <c r="S24" s="339"/>
      <c r="T24" s="339"/>
      <c r="U24" s="339"/>
      <c r="V24" s="340"/>
      <c r="W24" s="107" t="s">
        <v>63</v>
      </c>
      <c r="X24" s="108"/>
    </row>
    <row r="25" spans="1:24" x14ac:dyDescent="0.3">
      <c r="N25" s="134"/>
      <c r="O25" s="89">
        <v>11</v>
      </c>
      <c r="P25" s="338" t="s">
        <v>68</v>
      </c>
      <c r="Q25" s="339"/>
      <c r="R25" s="339"/>
      <c r="S25" s="339"/>
      <c r="T25" s="339"/>
      <c r="U25" s="339"/>
      <c r="V25" s="340"/>
      <c r="W25" s="109" t="s">
        <v>71</v>
      </c>
      <c r="X25" s="110"/>
    </row>
    <row r="26" spans="1:24" x14ac:dyDescent="0.3">
      <c r="N26" s="134"/>
      <c r="O26" s="84">
        <v>12</v>
      </c>
      <c r="P26" s="259" t="s">
        <v>72</v>
      </c>
      <c r="Q26" s="260"/>
      <c r="R26" s="260"/>
      <c r="S26" s="260"/>
      <c r="T26" s="260"/>
      <c r="U26" s="260"/>
      <c r="V26" s="261"/>
      <c r="W26" s="103" t="s">
        <v>73</v>
      </c>
      <c r="X26" s="104"/>
    </row>
    <row r="27" spans="1:24" x14ac:dyDescent="0.3">
      <c r="N27" s="134"/>
      <c r="O27" s="85">
        <v>13</v>
      </c>
      <c r="P27" s="259" t="s">
        <v>53</v>
      </c>
      <c r="Q27" s="260"/>
      <c r="R27" s="260"/>
      <c r="S27" s="260"/>
      <c r="T27" s="260"/>
      <c r="U27" s="260"/>
      <c r="V27" s="261"/>
      <c r="W27" s="103" t="s">
        <v>75</v>
      </c>
      <c r="X27" s="104"/>
    </row>
    <row r="28" spans="1:24" x14ac:dyDescent="0.3">
      <c r="N28" s="134"/>
      <c r="O28" s="91">
        <v>14</v>
      </c>
      <c r="P28" s="338" t="s">
        <v>77</v>
      </c>
      <c r="Q28" s="339"/>
      <c r="R28" s="339"/>
      <c r="S28" s="339"/>
      <c r="T28" s="339"/>
      <c r="U28" s="339"/>
      <c r="V28" s="340"/>
      <c r="W28" s="109" t="s">
        <v>76</v>
      </c>
      <c r="X28" s="110"/>
    </row>
    <row r="29" spans="1:24" x14ac:dyDescent="0.3">
      <c r="N29" s="134"/>
      <c r="O29" s="89">
        <v>15</v>
      </c>
      <c r="P29" s="338" t="s">
        <v>54</v>
      </c>
      <c r="Q29" s="339"/>
      <c r="R29" s="339"/>
      <c r="S29" s="339"/>
      <c r="T29" s="339"/>
      <c r="U29" s="339"/>
      <c r="V29" s="340"/>
      <c r="W29" s="109" t="s">
        <v>78</v>
      </c>
      <c r="X29" s="110"/>
    </row>
    <row r="30" spans="1:24" x14ac:dyDescent="0.3">
      <c r="N30" s="134"/>
      <c r="O30" s="91">
        <v>16</v>
      </c>
      <c r="P30" s="338" t="s">
        <v>79</v>
      </c>
      <c r="Q30" s="339"/>
      <c r="R30" s="339"/>
      <c r="S30" s="339"/>
      <c r="T30" s="339"/>
      <c r="U30" s="339"/>
      <c r="V30" s="340"/>
      <c r="W30" s="109" t="s">
        <v>80</v>
      </c>
      <c r="X30" s="110"/>
    </row>
    <row r="31" spans="1:24" x14ac:dyDescent="0.3">
      <c r="N31" s="134"/>
      <c r="O31" s="89">
        <v>17</v>
      </c>
      <c r="P31" s="338" t="s">
        <v>55</v>
      </c>
      <c r="Q31" s="339"/>
      <c r="R31" s="339"/>
      <c r="S31" s="339"/>
      <c r="T31" s="339"/>
      <c r="U31" s="339"/>
      <c r="V31" s="340"/>
      <c r="W31" s="109" t="s">
        <v>81</v>
      </c>
      <c r="X31" s="110"/>
    </row>
    <row r="32" spans="1:24" x14ac:dyDescent="0.3">
      <c r="N32" s="134"/>
      <c r="O32" s="91">
        <v>18</v>
      </c>
      <c r="P32" s="338" t="s">
        <v>56</v>
      </c>
      <c r="Q32" s="339"/>
      <c r="R32" s="339"/>
      <c r="S32" s="339"/>
      <c r="T32" s="339"/>
      <c r="U32" s="339"/>
      <c r="V32" s="340"/>
      <c r="W32" s="109" t="s">
        <v>82</v>
      </c>
      <c r="X32" s="110"/>
    </row>
    <row r="33" spans="14:24" x14ac:dyDescent="0.3">
      <c r="N33" s="134"/>
      <c r="O33" s="89">
        <v>19</v>
      </c>
      <c r="P33" s="338" t="s">
        <v>57</v>
      </c>
      <c r="Q33" s="339"/>
      <c r="R33" s="339"/>
      <c r="S33" s="339"/>
      <c r="T33" s="339"/>
      <c r="U33" s="339"/>
      <c r="V33" s="340"/>
      <c r="W33" s="109" t="s">
        <v>83</v>
      </c>
      <c r="X33" s="110"/>
    </row>
    <row r="34" spans="14:24" x14ac:dyDescent="0.3">
      <c r="N34" s="134"/>
      <c r="O34" s="84">
        <v>20</v>
      </c>
      <c r="P34" s="259" t="s">
        <v>84</v>
      </c>
      <c r="Q34" s="260"/>
      <c r="R34" s="260"/>
      <c r="S34" s="260"/>
      <c r="T34" s="260"/>
      <c r="U34" s="260"/>
      <c r="V34" s="261"/>
      <c r="W34" s="103" t="s">
        <v>85</v>
      </c>
      <c r="X34" s="104"/>
    </row>
    <row r="35" spans="14:24" ht="15" thickBot="1" x14ac:dyDescent="0.35">
      <c r="N35" s="134"/>
      <c r="O35" s="181">
        <v>21</v>
      </c>
      <c r="P35" s="343" t="s">
        <v>86</v>
      </c>
      <c r="Q35" s="345"/>
      <c r="R35" s="345"/>
      <c r="S35" s="345"/>
      <c r="T35" s="345"/>
      <c r="U35" s="345"/>
      <c r="V35" s="346"/>
      <c r="W35" s="111" t="s">
        <v>87</v>
      </c>
      <c r="X35" s="112"/>
    </row>
  </sheetData>
  <sortState ref="B4:K19">
    <sortCondition descending="1" ref="K4:K19"/>
  </sortState>
  <mergeCells count="26">
    <mergeCell ref="P34:V34"/>
    <mergeCell ref="P35:V35"/>
    <mergeCell ref="P28:V28"/>
    <mergeCell ref="P29:V29"/>
    <mergeCell ref="P30:V30"/>
    <mergeCell ref="P33:V33"/>
    <mergeCell ref="P31:V31"/>
    <mergeCell ref="P32:V32"/>
    <mergeCell ref="P23:V23"/>
    <mergeCell ref="P24:V24"/>
    <mergeCell ref="P25:V25"/>
    <mergeCell ref="P26:V26"/>
    <mergeCell ref="P27:V27"/>
    <mergeCell ref="A1:K2"/>
    <mergeCell ref="P14:V14"/>
    <mergeCell ref="P15:V15"/>
    <mergeCell ref="W15:X15"/>
    <mergeCell ref="P16:V16"/>
    <mergeCell ref="W16:X16"/>
    <mergeCell ref="W14:X14"/>
    <mergeCell ref="P19:V19"/>
    <mergeCell ref="P20:V20"/>
    <mergeCell ref="P21:V21"/>
    <mergeCell ref="P22:V22"/>
    <mergeCell ref="P17:V17"/>
    <mergeCell ref="P18:V18"/>
  </mergeCells>
  <conditionalFormatting sqref="B3:G3">
    <cfRule type="duplicateValues" dxfId="0" priority="3"/>
  </conditionalFormatting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workbookViewId="0">
      <selection activeCell="K12" sqref="K12"/>
    </sheetView>
  </sheetViews>
  <sheetFormatPr defaultRowHeight="14.4" x14ac:dyDescent="0.3"/>
  <cols>
    <col min="2" max="2" width="21.109375" customWidth="1"/>
  </cols>
  <sheetData>
    <row r="1" spans="1:8" x14ac:dyDescent="0.3">
      <c r="A1" s="280" t="s">
        <v>129</v>
      </c>
      <c r="B1" s="281"/>
      <c r="C1" s="281"/>
      <c r="D1" s="281"/>
      <c r="E1" s="281"/>
      <c r="F1" s="281"/>
      <c r="G1" s="281"/>
      <c r="H1" s="282"/>
    </row>
    <row r="2" spans="1:8" ht="15" thickBot="1" x14ac:dyDescent="0.35">
      <c r="A2" s="283"/>
      <c r="B2" s="284"/>
      <c r="C2" s="284"/>
      <c r="D2" s="284"/>
      <c r="E2" s="284"/>
      <c r="F2" s="284"/>
      <c r="G2" s="284"/>
      <c r="H2" s="286"/>
    </row>
    <row r="3" spans="1:8" ht="15" thickBot="1" x14ac:dyDescent="0.35">
      <c r="A3" s="58" t="s">
        <v>89</v>
      </c>
      <c r="B3" s="61" t="s">
        <v>90</v>
      </c>
      <c r="C3" s="92">
        <v>2</v>
      </c>
      <c r="D3" s="92">
        <v>3</v>
      </c>
      <c r="E3" s="92">
        <v>10</v>
      </c>
      <c r="F3" s="62">
        <v>11</v>
      </c>
      <c r="G3" s="68">
        <v>15</v>
      </c>
      <c r="H3" s="123" t="s">
        <v>91</v>
      </c>
    </row>
    <row r="4" spans="1:8" x14ac:dyDescent="0.3">
      <c r="A4" s="131">
        <v>1</v>
      </c>
      <c r="B4" s="71" t="s">
        <v>130</v>
      </c>
      <c r="C4" s="65">
        <v>80</v>
      </c>
      <c r="D4" s="65">
        <v>1</v>
      </c>
      <c r="E4" s="65">
        <v>12</v>
      </c>
      <c r="F4" s="65">
        <v>114</v>
      </c>
      <c r="G4" s="156"/>
      <c r="H4" s="164">
        <f t="shared" ref="H4:H36" si="0">SUM(C4:G4)</f>
        <v>207</v>
      </c>
    </row>
    <row r="5" spans="1:8" x14ac:dyDescent="0.3">
      <c r="A5" s="124">
        <v>2</v>
      </c>
      <c r="B5" s="70" t="s">
        <v>133</v>
      </c>
      <c r="C5" s="66">
        <v>52</v>
      </c>
      <c r="D5" s="66"/>
      <c r="E5" s="66"/>
      <c r="F5" s="66">
        <v>66</v>
      </c>
      <c r="G5" s="156"/>
      <c r="H5" s="164">
        <f t="shared" si="0"/>
        <v>118</v>
      </c>
    </row>
    <row r="6" spans="1:8" x14ac:dyDescent="0.3">
      <c r="A6" s="131">
        <v>3</v>
      </c>
      <c r="B6" s="70" t="s">
        <v>138</v>
      </c>
      <c r="C6" s="66">
        <v>44</v>
      </c>
      <c r="D6" s="66"/>
      <c r="E6" s="66"/>
      <c r="F6" s="66">
        <v>50</v>
      </c>
      <c r="G6" s="156"/>
      <c r="H6" s="164">
        <f t="shared" si="0"/>
        <v>94</v>
      </c>
    </row>
    <row r="7" spans="1:8" x14ac:dyDescent="0.3">
      <c r="A7" s="124">
        <v>4</v>
      </c>
      <c r="B7" s="70" t="s">
        <v>137</v>
      </c>
      <c r="C7" s="66"/>
      <c r="D7" s="66"/>
      <c r="E7" s="66"/>
      <c r="F7" s="66">
        <v>88</v>
      </c>
      <c r="G7" s="156"/>
      <c r="H7" s="164">
        <f t="shared" si="0"/>
        <v>88</v>
      </c>
    </row>
    <row r="8" spans="1:8" x14ac:dyDescent="0.3">
      <c r="A8" s="131">
        <v>5</v>
      </c>
      <c r="B8" s="70" t="s">
        <v>131</v>
      </c>
      <c r="C8" s="66"/>
      <c r="D8" s="66"/>
      <c r="E8" s="66"/>
      <c r="F8" s="66">
        <v>80</v>
      </c>
      <c r="G8" s="156"/>
      <c r="H8" s="164">
        <f t="shared" si="0"/>
        <v>80</v>
      </c>
    </row>
    <row r="9" spans="1:8" x14ac:dyDescent="0.3">
      <c r="A9" s="124">
        <v>6</v>
      </c>
      <c r="B9" s="64" t="s">
        <v>210</v>
      </c>
      <c r="C9" s="69">
        <v>76</v>
      </c>
      <c r="D9" s="69"/>
      <c r="E9" s="69"/>
      <c r="F9" s="69"/>
      <c r="G9" s="143"/>
      <c r="H9" s="164">
        <f t="shared" si="0"/>
        <v>76</v>
      </c>
    </row>
    <row r="10" spans="1:8" x14ac:dyDescent="0.3">
      <c r="A10" s="131">
        <v>7</v>
      </c>
      <c r="B10" s="64" t="s">
        <v>149</v>
      </c>
      <c r="C10" s="69">
        <v>68</v>
      </c>
      <c r="D10" s="69"/>
      <c r="E10" s="69"/>
      <c r="F10" s="69"/>
      <c r="G10" s="143"/>
      <c r="H10" s="164">
        <f t="shared" si="0"/>
        <v>68</v>
      </c>
    </row>
    <row r="11" spans="1:8" x14ac:dyDescent="0.3">
      <c r="A11" s="124">
        <v>8</v>
      </c>
      <c r="B11" s="70" t="s">
        <v>132</v>
      </c>
      <c r="C11" s="66"/>
      <c r="D11" s="66"/>
      <c r="E11" s="66"/>
      <c r="F11" s="66">
        <v>66</v>
      </c>
      <c r="G11" s="156"/>
      <c r="H11" s="164">
        <f t="shared" si="0"/>
        <v>66</v>
      </c>
    </row>
    <row r="12" spans="1:8" x14ac:dyDescent="0.3">
      <c r="A12" s="131">
        <v>9</v>
      </c>
      <c r="B12" s="70" t="s">
        <v>142</v>
      </c>
      <c r="C12" s="66">
        <v>18</v>
      </c>
      <c r="D12" s="66"/>
      <c r="E12" s="66"/>
      <c r="F12" s="66">
        <v>38</v>
      </c>
      <c r="G12" s="156"/>
      <c r="H12" s="164">
        <f t="shared" si="0"/>
        <v>56</v>
      </c>
    </row>
    <row r="13" spans="1:8" x14ac:dyDescent="0.3">
      <c r="A13" s="124">
        <v>10</v>
      </c>
      <c r="B13" s="70" t="s">
        <v>139</v>
      </c>
      <c r="C13" s="66">
        <v>38</v>
      </c>
      <c r="D13" s="66"/>
      <c r="E13" s="66"/>
      <c r="F13" s="66">
        <v>18</v>
      </c>
      <c r="G13" s="156"/>
      <c r="H13" s="164">
        <f t="shared" si="0"/>
        <v>56</v>
      </c>
    </row>
    <row r="14" spans="1:8" x14ac:dyDescent="0.3">
      <c r="A14" s="131">
        <v>11</v>
      </c>
      <c r="B14" s="64" t="s">
        <v>212</v>
      </c>
      <c r="C14" s="69">
        <v>52</v>
      </c>
      <c r="D14" s="69"/>
      <c r="E14" s="69"/>
      <c r="F14" s="69"/>
      <c r="G14" s="143"/>
      <c r="H14" s="164">
        <f t="shared" si="0"/>
        <v>52</v>
      </c>
    </row>
    <row r="15" spans="1:8" x14ac:dyDescent="0.3">
      <c r="A15" s="124">
        <v>12</v>
      </c>
      <c r="B15" s="64" t="s">
        <v>211</v>
      </c>
      <c r="C15" s="69">
        <v>48</v>
      </c>
      <c r="D15" s="69"/>
      <c r="E15" s="69"/>
      <c r="F15" s="69"/>
      <c r="G15" s="143"/>
      <c r="H15" s="164">
        <f t="shared" si="0"/>
        <v>48</v>
      </c>
    </row>
    <row r="16" spans="1:8" x14ac:dyDescent="0.3">
      <c r="A16" s="131">
        <v>13</v>
      </c>
      <c r="B16" s="70" t="s">
        <v>136</v>
      </c>
      <c r="C16" s="66"/>
      <c r="D16" s="66"/>
      <c r="E16" s="66"/>
      <c r="F16" s="66">
        <v>40</v>
      </c>
      <c r="G16" s="156"/>
      <c r="H16" s="164">
        <f t="shared" si="0"/>
        <v>40</v>
      </c>
    </row>
    <row r="17" spans="1:8" x14ac:dyDescent="0.3">
      <c r="A17" s="124">
        <v>14</v>
      </c>
      <c r="B17" s="70" t="s">
        <v>147</v>
      </c>
      <c r="C17" s="66"/>
      <c r="D17" s="66"/>
      <c r="E17" s="66">
        <v>7</v>
      </c>
      <c r="F17" s="66">
        <v>30</v>
      </c>
      <c r="G17" s="156"/>
      <c r="H17" s="164">
        <f t="shared" si="0"/>
        <v>37</v>
      </c>
    </row>
    <row r="18" spans="1:8" x14ac:dyDescent="0.3">
      <c r="A18" s="131">
        <v>15</v>
      </c>
      <c r="B18" s="70" t="s">
        <v>141</v>
      </c>
      <c r="C18" s="66"/>
      <c r="D18" s="66"/>
      <c r="E18" s="66"/>
      <c r="F18" s="66">
        <v>34</v>
      </c>
      <c r="G18" s="156"/>
      <c r="H18" s="164">
        <f t="shared" si="0"/>
        <v>34</v>
      </c>
    </row>
    <row r="19" spans="1:8" x14ac:dyDescent="0.3">
      <c r="A19" s="124">
        <v>16</v>
      </c>
      <c r="B19" s="64" t="s">
        <v>213</v>
      </c>
      <c r="C19" s="69">
        <v>34</v>
      </c>
      <c r="D19" s="69"/>
      <c r="E19" s="69"/>
      <c r="F19" s="69"/>
      <c r="G19" s="143"/>
      <c r="H19" s="164">
        <f t="shared" si="0"/>
        <v>34</v>
      </c>
    </row>
    <row r="20" spans="1:8" x14ac:dyDescent="0.3">
      <c r="A20" s="131">
        <v>17</v>
      </c>
      <c r="B20" s="70" t="s">
        <v>135</v>
      </c>
      <c r="C20" s="66"/>
      <c r="D20" s="66"/>
      <c r="E20" s="66"/>
      <c r="F20" s="66">
        <v>32</v>
      </c>
      <c r="G20" s="156"/>
      <c r="H20" s="164">
        <f t="shared" si="0"/>
        <v>32</v>
      </c>
    </row>
    <row r="21" spans="1:8" x14ac:dyDescent="0.3">
      <c r="A21" s="124">
        <v>18</v>
      </c>
      <c r="B21" s="64" t="s">
        <v>214</v>
      </c>
      <c r="C21" s="69">
        <v>28</v>
      </c>
      <c r="D21" s="69"/>
      <c r="E21" s="69"/>
      <c r="F21" s="69"/>
      <c r="G21" s="143"/>
      <c r="H21" s="164">
        <f t="shared" si="0"/>
        <v>28</v>
      </c>
    </row>
    <row r="22" spans="1:8" x14ac:dyDescent="0.3">
      <c r="A22" s="131">
        <v>19</v>
      </c>
      <c r="B22" s="70" t="s">
        <v>140</v>
      </c>
      <c r="C22" s="66"/>
      <c r="D22" s="66"/>
      <c r="E22" s="66"/>
      <c r="F22" s="66">
        <v>24</v>
      </c>
      <c r="G22" s="156"/>
      <c r="H22" s="164">
        <f t="shared" si="0"/>
        <v>24</v>
      </c>
    </row>
    <row r="23" spans="1:8" x14ac:dyDescent="0.3">
      <c r="A23" s="124">
        <v>20</v>
      </c>
      <c r="B23" s="70" t="s">
        <v>134</v>
      </c>
      <c r="C23" s="66"/>
      <c r="D23" s="66"/>
      <c r="E23" s="66"/>
      <c r="F23" s="66">
        <v>24</v>
      </c>
      <c r="G23" s="156"/>
      <c r="H23" s="164">
        <f t="shared" si="0"/>
        <v>24</v>
      </c>
    </row>
    <row r="24" spans="1:8" x14ac:dyDescent="0.3">
      <c r="A24" s="131">
        <v>21</v>
      </c>
      <c r="B24" s="70" t="s">
        <v>145</v>
      </c>
      <c r="C24" s="66">
        <v>18</v>
      </c>
      <c r="D24" s="66"/>
      <c r="E24" s="66"/>
      <c r="F24" s="66">
        <v>2</v>
      </c>
      <c r="G24" s="156"/>
      <c r="H24" s="164">
        <f t="shared" si="0"/>
        <v>20</v>
      </c>
    </row>
    <row r="25" spans="1:8" x14ac:dyDescent="0.3">
      <c r="A25" s="124">
        <v>22</v>
      </c>
      <c r="B25" s="70" t="s">
        <v>146</v>
      </c>
      <c r="C25" s="66"/>
      <c r="D25" s="66">
        <v>9</v>
      </c>
      <c r="E25" s="66"/>
      <c r="F25" s="66"/>
      <c r="G25" s="156">
        <v>4</v>
      </c>
      <c r="H25" s="164">
        <f t="shared" si="0"/>
        <v>13</v>
      </c>
    </row>
    <row r="26" spans="1:8" x14ac:dyDescent="0.3">
      <c r="A26" s="131">
        <v>23</v>
      </c>
      <c r="B26" s="94" t="s">
        <v>207</v>
      </c>
      <c r="C26" s="69"/>
      <c r="D26" s="69"/>
      <c r="E26" s="69">
        <v>3</v>
      </c>
      <c r="F26" s="69"/>
      <c r="G26" s="143">
        <v>9</v>
      </c>
      <c r="H26" s="164">
        <f t="shared" si="0"/>
        <v>12</v>
      </c>
    </row>
    <row r="27" spans="1:8" x14ac:dyDescent="0.3">
      <c r="A27" s="124">
        <v>24</v>
      </c>
      <c r="B27" s="70" t="s">
        <v>144</v>
      </c>
      <c r="C27" s="66"/>
      <c r="D27" s="66"/>
      <c r="E27" s="66"/>
      <c r="F27" s="66">
        <v>10</v>
      </c>
      <c r="G27" s="156"/>
      <c r="H27" s="164">
        <f t="shared" si="0"/>
        <v>10</v>
      </c>
    </row>
    <row r="28" spans="1:8" x14ac:dyDescent="0.3">
      <c r="A28" s="131">
        <v>25</v>
      </c>
      <c r="B28" s="81" t="s">
        <v>206</v>
      </c>
      <c r="C28" s="69"/>
      <c r="D28" s="69"/>
      <c r="E28" s="69">
        <v>5</v>
      </c>
      <c r="F28" s="69"/>
      <c r="G28" s="143">
        <v>2</v>
      </c>
      <c r="H28" s="164">
        <f t="shared" si="0"/>
        <v>7</v>
      </c>
    </row>
    <row r="29" spans="1:8" x14ac:dyDescent="0.3">
      <c r="A29" s="124">
        <v>26</v>
      </c>
      <c r="B29" s="81" t="s">
        <v>216</v>
      </c>
      <c r="C29" s="69"/>
      <c r="D29" s="69">
        <v>6</v>
      </c>
      <c r="E29" s="69"/>
      <c r="F29" s="69"/>
      <c r="G29" s="143">
        <v>1</v>
      </c>
      <c r="H29" s="164">
        <f t="shared" si="0"/>
        <v>7</v>
      </c>
    </row>
    <row r="30" spans="1:8" x14ac:dyDescent="0.3">
      <c r="A30" s="131">
        <v>27</v>
      </c>
      <c r="B30" s="70" t="s">
        <v>143</v>
      </c>
      <c r="C30" s="66"/>
      <c r="D30" s="66"/>
      <c r="E30" s="66"/>
      <c r="F30" s="66">
        <v>6</v>
      </c>
      <c r="G30" s="156"/>
      <c r="H30" s="164">
        <f t="shared" si="0"/>
        <v>6</v>
      </c>
    </row>
    <row r="31" spans="1:8" x14ac:dyDescent="0.3">
      <c r="A31" s="124">
        <v>28</v>
      </c>
      <c r="B31" s="64" t="s">
        <v>215</v>
      </c>
      <c r="C31" s="69"/>
      <c r="D31" s="69"/>
      <c r="E31" s="69"/>
      <c r="F31" s="69"/>
      <c r="G31" s="143">
        <v>6</v>
      </c>
      <c r="H31" s="164">
        <f t="shared" si="0"/>
        <v>6</v>
      </c>
    </row>
    <row r="32" spans="1:8" x14ac:dyDescent="0.3">
      <c r="A32" s="131">
        <v>29</v>
      </c>
      <c r="B32" s="94" t="s">
        <v>155</v>
      </c>
      <c r="C32" s="69"/>
      <c r="D32" s="69"/>
      <c r="E32" s="69">
        <v>4</v>
      </c>
      <c r="F32" s="69"/>
      <c r="G32" s="143"/>
      <c r="H32" s="164">
        <f t="shared" si="0"/>
        <v>4</v>
      </c>
    </row>
    <row r="33" spans="1:16" x14ac:dyDescent="0.3">
      <c r="A33" s="124">
        <v>30</v>
      </c>
      <c r="B33" s="95" t="s">
        <v>217</v>
      </c>
      <c r="C33" s="96"/>
      <c r="D33" s="96">
        <v>4</v>
      </c>
      <c r="E33" s="96"/>
      <c r="F33" s="96"/>
      <c r="G33" s="178"/>
      <c r="H33" s="164">
        <f t="shared" si="0"/>
        <v>4</v>
      </c>
    </row>
    <row r="34" spans="1:16" x14ac:dyDescent="0.3">
      <c r="A34" s="131">
        <v>31</v>
      </c>
      <c r="B34" s="81" t="s">
        <v>208</v>
      </c>
      <c r="C34" s="69"/>
      <c r="D34" s="69">
        <v>2</v>
      </c>
      <c r="E34" s="69">
        <v>2</v>
      </c>
      <c r="F34" s="69"/>
      <c r="G34" s="171"/>
      <c r="H34" s="164">
        <f t="shared" si="0"/>
        <v>4</v>
      </c>
    </row>
    <row r="35" spans="1:16" x14ac:dyDescent="0.3">
      <c r="A35" s="124">
        <v>32</v>
      </c>
      <c r="B35" s="70" t="s">
        <v>148</v>
      </c>
      <c r="C35" s="66"/>
      <c r="D35" s="66"/>
      <c r="E35" s="66"/>
      <c r="F35" s="66">
        <v>2</v>
      </c>
      <c r="G35" s="158"/>
      <c r="H35" s="164">
        <f t="shared" si="0"/>
        <v>2</v>
      </c>
    </row>
    <row r="36" spans="1:16" ht="15" thickBot="1" x14ac:dyDescent="0.35">
      <c r="A36" s="182">
        <v>33</v>
      </c>
      <c r="B36" s="183" t="s">
        <v>209</v>
      </c>
      <c r="C36" s="128"/>
      <c r="D36" s="128"/>
      <c r="E36" s="128">
        <v>1</v>
      </c>
      <c r="F36" s="128"/>
      <c r="G36" s="184"/>
      <c r="H36" s="165">
        <f t="shared" si="0"/>
        <v>1</v>
      </c>
    </row>
    <row r="37" spans="1:16" x14ac:dyDescent="0.3">
      <c r="B37" s="93"/>
    </row>
    <row r="38" spans="1:16" x14ac:dyDescent="0.3">
      <c r="B38" s="93"/>
    </row>
    <row r="39" spans="1:16" x14ac:dyDescent="0.3">
      <c r="B39" s="93"/>
    </row>
    <row r="40" spans="1:16" x14ac:dyDescent="0.3">
      <c r="B40" s="93"/>
    </row>
    <row r="41" spans="1:16" x14ac:dyDescent="0.3">
      <c r="B41" s="93"/>
    </row>
    <row r="42" spans="1:16" x14ac:dyDescent="0.3">
      <c r="B42" s="93"/>
    </row>
    <row r="43" spans="1:16" x14ac:dyDescent="0.3">
      <c r="B43" s="93"/>
    </row>
    <row r="44" spans="1:16" x14ac:dyDescent="0.3">
      <c r="B44" s="93"/>
    </row>
    <row r="45" spans="1:16" ht="15" thickBot="1" x14ac:dyDescent="0.35"/>
    <row r="46" spans="1:16" ht="15" thickBot="1" x14ac:dyDescent="0.35">
      <c r="H46" s="57" t="s">
        <v>45</v>
      </c>
      <c r="I46" s="262" t="s">
        <v>46</v>
      </c>
      <c r="J46" s="262"/>
      <c r="K46" s="262"/>
      <c r="L46" s="262"/>
      <c r="M46" s="262"/>
      <c r="N46" s="262"/>
      <c r="O46" s="262" t="s">
        <v>74</v>
      </c>
      <c r="P46" s="263"/>
    </row>
    <row r="47" spans="1:16" x14ac:dyDescent="0.3">
      <c r="H47" s="89">
        <v>1</v>
      </c>
      <c r="I47" s="312" t="s">
        <v>47</v>
      </c>
      <c r="J47" s="313"/>
      <c r="K47" s="313"/>
      <c r="L47" s="313"/>
      <c r="M47" s="313"/>
      <c r="N47" s="314"/>
      <c r="O47" s="315" t="s">
        <v>58</v>
      </c>
      <c r="P47" s="316"/>
    </row>
    <row r="48" spans="1:16" x14ac:dyDescent="0.3">
      <c r="H48" s="84">
        <v>2</v>
      </c>
      <c r="I48" s="259" t="s">
        <v>48</v>
      </c>
      <c r="J48" s="260"/>
      <c r="K48" s="260"/>
      <c r="L48" s="260"/>
      <c r="M48" s="260"/>
      <c r="N48" s="261"/>
      <c r="O48" s="255" t="s">
        <v>65</v>
      </c>
      <c r="P48" s="256"/>
    </row>
    <row r="49" spans="8:16" x14ac:dyDescent="0.3">
      <c r="H49" s="85">
        <v>3</v>
      </c>
      <c r="I49" s="259" t="s">
        <v>175</v>
      </c>
      <c r="J49" s="260"/>
      <c r="K49" s="260"/>
      <c r="L49" s="260"/>
      <c r="M49" s="260"/>
      <c r="N49" s="261"/>
      <c r="O49" s="259" t="s">
        <v>176</v>
      </c>
      <c r="P49" s="268"/>
    </row>
    <row r="50" spans="8:16" x14ac:dyDescent="0.3">
      <c r="H50" s="60">
        <v>4</v>
      </c>
      <c r="I50" s="277" t="s">
        <v>49</v>
      </c>
      <c r="J50" s="278"/>
      <c r="K50" s="278"/>
      <c r="L50" s="278"/>
      <c r="M50" s="278"/>
      <c r="N50" s="279"/>
      <c r="O50" s="269" t="s">
        <v>66</v>
      </c>
      <c r="P50" s="270"/>
    </row>
    <row r="51" spans="8:16" x14ac:dyDescent="0.3">
      <c r="H51" s="59">
        <v>5</v>
      </c>
      <c r="I51" s="277" t="s">
        <v>69</v>
      </c>
      <c r="J51" s="278"/>
      <c r="K51" s="278"/>
      <c r="L51" s="278"/>
      <c r="M51" s="278"/>
      <c r="N51" s="279"/>
      <c r="O51" s="269" t="s">
        <v>59</v>
      </c>
      <c r="P51" s="270"/>
    </row>
    <row r="52" spans="8:16" x14ac:dyDescent="0.3">
      <c r="H52" s="60">
        <v>6</v>
      </c>
      <c r="I52" s="277" t="s">
        <v>70</v>
      </c>
      <c r="J52" s="278"/>
      <c r="K52" s="278"/>
      <c r="L52" s="278"/>
      <c r="M52" s="278"/>
      <c r="N52" s="279"/>
      <c r="O52" s="269" t="s">
        <v>67</v>
      </c>
      <c r="P52" s="270"/>
    </row>
    <row r="53" spans="8:16" x14ac:dyDescent="0.3">
      <c r="H53" s="59">
        <v>7</v>
      </c>
      <c r="I53" s="277" t="s">
        <v>50</v>
      </c>
      <c r="J53" s="278"/>
      <c r="K53" s="278"/>
      <c r="L53" s="278"/>
      <c r="M53" s="278"/>
      <c r="N53" s="279"/>
      <c r="O53" s="269" t="s">
        <v>60</v>
      </c>
      <c r="P53" s="270"/>
    </row>
    <row r="54" spans="8:16" x14ac:dyDescent="0.3">
      <c r="H54" s="91">
        <v>8</v>
      </c>
      <c r="I54" s="338" t="s">
        <v>51</v>
      </c>
      <c r="J54" s="339"/>
      <c r="K54" s="339"/>
      <c r="L54" s="339"/>
      <c r="M54" s="339"/>
      <c r="N54" s="340"/>
      <c r="O54" s="241" t="s">
        <v>64</v>
      </c>
      <c r="P54" s="342"/>
    </row>
    <row r="55" spans="8:16" x14ac:dyDescent="0.3">
      <c r="H55" s="59">
        <v>9</v>
      </c>
      <c r="I55" s="277" t="s">
        <v>52</v>
      </c>
      <c r="J55" s="278"/>
      <c r="K55" s="278"/>
      <c r="L55" s="278"/>
      <c r="M55" s="278"/>
      <c r="N55" s="279"/>
      <c r="O55" s="269" t="s">
        <v>61</v>
      </c>
      <c r="P55" s="270"/>
    </row>
    <row r="56" spans="8:16" x14ac:dyDescent="0.3">
      <c r="H56" s="84">
        <v>10</v>
      </c>
      <c r="I56" s="259" t="s">
        <v>62</v>
      </c>
      <c r="J56" s="260"/>
      <c r="K56" s="260"/>
      <c r="L56" s="260"/>
      <c r="M56" s="260"/>
      <c r="N56" s="261"/>
      <c r="O56" s="259" t="s">
        <v>63</v>
      </c>
      <c r="P56" s="268"/>
    </row>
    <row r="57" spans="8:16" x14ac:dyDescent="0.3">
      <c r="H57" s="89">
        <v>11</v>
      </c>
      <c r="I57" s="338" t="s">
        <v>68</v>
      </c>
      <c r="J57" s="339"/>
      <c r="K57" s="339"/>
      <c r="L57" s="339"/>
      <c r="M57" s="339"/>
      <c r="N57" s="340"/>
      <c r="O57" s="241" t="s">
        <v>71</v>
      </c>
      <c r="P57" s="342"/>
    </row>
    <row r="58" spans="8:16" x14ac:dyDescent="0.3">
      <c r="H58" s="84">
        <v>12</v>
      </c>
      <c r="I58" s="259" t="s">
        <v>72</v>
      </c>
      <c r="J58" s="260"/>
      <c r="K58" s="260"/>
      <c r="L58" s="260"/>
      <c r="M58" s="260"/>
      <c r="N58" s="261"/>
      <c r="O58" s="255" t="s">
        <v>73</v>
      </c>
      <c r="P58" s="256"/>
    </row>
    <row r="59" spans="8:16" x14ac:dyDescent="0.3">
      <c r="H59" s="59">
        <v>13</v>
      </c>
      <c r="I59" s="277" t="s">
        <v>53</v>
      </c>
      <c r="J59" s="278"/>
      <c r="K59" s="278"/>
      <c r="L59" s="278"/>
      <c r="M59" s="278"/>
      <c r="N59" s="279"/>
      <c r="O59" s="269" t="s">
        <v>75</v>
      </c>
      <c r="P59" s="270"/>
    </row>
    <row r="60" spans="8:16" x14ac:dyDescent="0.3">
      <c r="H60" s="60">
        <v>14</v>
      </c>
      <c r="I60" s="277" t="s">
        <v>77</v>
      </c>
      <c r="J60" s="278"/>
      <c r="K60" s="278"/>
      <c r="L60" s="278"/>
      <c r="M60" s="278"/>
      <c r="N60" s="279"/>
      <c r="O60" s="269" t="s">
        <v>76</v>
      </c>
      <c r="P60" s="270"/>
    </row>
    <row r="61" spans="8:16" x14ac:dyDescent="0.3">
      <c r="H61" s="85">
        <v>15</v>
      </c>
      <c r="I61" s="259" t="s">
        <v>54</v>
      </c>
      <c r="J61" s="260"/>
      <c r="K61" s="260"/>
      <c r="L61" s="260"/>
      <c r="M61" s="260"/>
      <c r="N61" s="261"/>
      <c r="O61" s="255" t="s">
        <v>78</v>
      </c>
      <c r="P61" s="256"/>
    </row>
    <row r="62" spans="8:16" x14ac:dyDescent="0.3">
      <c r="H62" s="60">
        <v>16</v>
      </c>
      <c r="I62" s="277" t="s">
        <v>79</v>
      </c>
      <c r="J62" s="278"/>
      <c r="K62" s="278"/>
      <c r="L62" s="278"/>
      <c r="M62" s="278"/>
      <c r="N62" s="279"/>
      <c r="O62" s="269" t="s">
        <v>80</v>
      </c>
      <c r="P62" s="270"/>
    </row>
    <row r="63" spans="8:16" x14ac:dyDescent="0.3">
      <c r="H63" s="59">
        <v>17</v>
      </c>
      <c r="I63" s="277" t="s">
        <v>55</v>
      </c>
      <c r="J63" s="278"/>
      <c r="K63" s="278"/>
      <c r="L63" s="278"/>
      <c r="M63" s="278"/>
      <c r="N63" s="279"/>
      <c r="O63" s="269" t="s">
        <v>81</v>
      </c>
      <c r="P63" s="270"/>
    </row>
    <row r="64" spans="8:16" x14ac:dyDescent="0.3">
      <c r="H64" s="60">
        <v>18</v>
      </c>
      <c r="I64" s="277" t="s">
        <v>56</v>
      </c>
      <c r="J64" s="278"/>
      <c r="K64" s="278"/>
      <c r="L64" s="278"/>
      <c r="M64" s="278"/>
      <c r="N64" s="279"/>
      <c r="O64" s="269" t="s">
        <v>82</v>
      </c>
      <c r="P64" s="270"/>
    </row>
    <row r="65" spans="8:16" x14ac:dyDescent="0.3">
      <c r="H65" s="59">
        <v>19</v>
      </c>
      <c r="I65" s="277" t="s">
        <v>57</v>
      </c>
      <c r="J65" s="278"/>
      <c r="K65" s="278"/>
      <c r="L65" s="278"/>
      <c r="M65" s="278"/>
      <c r="N65" s="279"/>
      <c r="O65" s="269" t="s">
        <v>83</v>
      </c>
      <c r="P65" s="270"/>
    </row>
    <row r="66" spans="8:16" x14ac:dyDescent="0.3">
      <c r="H66" s="60">
        <v>20</v>
      </c>
      <c r="I66" s="277" t="s">
        <v>84</v>
      </c>
      <c r="J66" s="278"/>
      <c r="K66" s="278"/>
      <c r="L66" s="278"/>
      <c r="M66" s="278"/>
      <c r="N66" s="279"/>
      <c r="O66" s="269" t="s">
        <v>85</v>
      </c>
      <c r="P66" s="270"/>
    </row>
    <row r="67" spans="8:16" ht="15" thickBot="1" x14ac:dyDescent="0.35">
      <c r="H67" s="179">
        <v>21</v>
      </c>
      <c r="I67" s="330" t="s">
        <v>86</v>
      </c>
      <c r="J67" s="331"/>
      <c r="K67" s="331"/>
      <c r="L67" s="331"/>
      <c r="M67" s="331"/>
      <c r="N67" s="332"/>
      <c r="O67" s="349" t="s">
        <v>87</v>
      </c>
      <c r="P67" s="350"/>
    </row>
  </sheetData>
  <sortState ref="B4:H36">
    <sortCondition descending="1" ref="H4:H36"/>
  </sortState>
  <mergeCells count="45">
    <mergeCell ref="I65:N65"/>
    <mergeCell ref="O65:P65"/>
    <mergeCell ref="I66:N66"/>
    <mergeCell ref="O66:P66"/>
    <mergeCell ref="I67:N67"/>
    <mergeCell ref="O67:P67"/>
    <mergeCell ref="I62:N62"/>
    <mergeCell ref="O62:P62"/>
    <mergeCell ref="I63:N63"/>
    <mergeCell ref="O63:P63"/>
    <mergeCell ref="I64:N64"/>
    <mergeCell ref="O64:P64"/>
    <mergeCell ref="I59:N59"/>
    <mergeCell ref="O59:P59"/>
    <mergeCell ref="I60:N60"/>
    <mergeCell ref="O60:P60"/>
    <mergeCell ref="I61:N61"/>
    <mergeCell ref="O61:P61"/>
    <mergeCell ref="I56:N56"/>
    <mergeCell ref="O56:P56"/>
    <mergeCell ref="I57:N57"/>
    <mergeCell ref="O57:P57"/>
    <mergeCell ref="I58:N58"/>
    <mergeCell ref="O58:P58"/>
    <mergeCell ref="I54:N54"/>
    <mergeCell ref="O54:P54"/>
    <mergeCell ref="I55:N55"/>
    <mergeCell ref="O55:P55"/>
    <mergeCell ref="I51:N51"/>
    <mergeCell ref="O51:P51"/>
    <mergeCell ref="I52:N52"/>
    <mergeCell ref="O52:P52"/>
    <mergeCell ref="I53:N53"/>
    <mergeCell ref="O53:P53"/>
    <mergeCell ref="I48:N48"/>
    <mergeCell ref="O48:P48"/>
    <mergeCell ref="I49:N49"/>
    <mergeCell ref="O49:P49"/>
    <mergeCell ref="I50:N50"/>
    <mergeCell ref="O50:P50"/>
    <mergeCell ref="A1:H2"/>
    <mergeCell ref="I46:N46"/>
    <mergeCell ref="O46:P46"/>
    <mergeCell ref="I47:N47"/>
    <mergeCell ref="O47:P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K13" sqref="K13"/>
    </sheetView>
  </sheetViews>
  <sheetFormatPr defaultRowHeight="14.4" x14ac:dyDescent="0.3"/>
  <cols>
    <col min="2" max="2" width="22.77734375" customWidth="1"/>
    <col min="3" max="3" width="9.5546875" customWidth="1"/>
    <col min="4" max="4" width="9.109375" customWidth="1"/>
    <col min="5" max="5" width="8.6640625" customWidth="1"/>
  </cols>
  <sheetData>
    <row r="1" spans="1:8" x14ac:dyDescent="0.3">
      <c r="A1" s="280" t="s">
        <v>161</v>
      </c>
      <c r="B1" s="281"/>
      <c r="C1" s="281"/>
      <c r="D1" s="281"/>
      <c r="E1" s="281"/>
      <c r="F1" s="281"/>
      <c r="G1" s="281"/>
      <c r="H1" s="282"/>
    </row>
    <row r="2" spans="1:8" ht="15" thickBot="1" x14ac:dyDescent="0.35">
      <c r="A2" s="283"/>
      <c r="B2" s="284"/>
      <c r="C2" s="284"/>
      <c r="D2" s="284"/>
      <c r="E2" s="284"/>
      <c r="F2" s="284"/>
      <c r="G2" s="284"/>
      <c r="H2" s="286"/>
    </row>
    <row r="3" spans="1:8" ht="15" thickBot="1" x14ac:dyDescent="0.35">
      <c r="A3" s="72" t="s">
        <v>89</v>
      </c>
      <c r="B3" s="73" t="s">
        <v>90</v>
      </c>
      <c r="C3" s="98">
        <v>2</v>
      </c>
      <c r="D3" s="98">
        <v>6</v>
      </c>
      <c r="E3" s="98">
        <v>10</v>
      </c>
      <c r="F3" s="75">
        <v>12</v>
      </c>
      <c r="G3" s="75">
        <v>15</v>
      </c>
      <c r="H3" s="76" t="s">
        <v>91</v>
      </c>
    </row>
    <row r="4" spans="1:8" x14ac:dyDescent="0.3">
      <c r="A4" s="131">
        <v>1</v>
      </c>
      <c r="B4" s="97" t="s">
        <v>149</v>
      </c>
      <c r="C4" s="87"/>
      <c r="D4" s="87"/>
      <c r="E4" s="87"/>
      <c r="F4" s="87">
        <v>102</v>
      </c>
      <c r="G4" s="87"/>
      <c r="H4" s="133">
        <f t="shared" ref="H4:H19" si="0">SUM(C4:G4)</f>
        <v>102</v>
      </c>
    </row>
    <row r="5" spans="1:8" x14ac:dyDescent="0.3">
      <c r="A5" s="124">
        <v>2</v>
      </c>
      <c r="B5" s="64" t="s">
        <v>151</v>
      </c>
      <c r="C5" s="69"/>
      <c r="D5" s="69"/>
      <c r="E5" s="69"/>
      <c r="F5" s="69">
        <v>62</v>
      </c>
      <c r="G5" s="69">
        <v>1</v>
      </c>
      <c r="H5" s="133">
        <f t="shared" si="0"/>
        <v>63</v>
      </c>
    </row>
    <row r="6" spans="1:8" x14ac:dyDescent="0.3">
      <c r="A6" s="131">
        <v>3</v>
      </c>
      <c r="B6" s="64" t="s">
        <v>150</v>
      </c>
      <c r="C6" s="69"/>
      <c r="D6" s="69"/>
      <c r="E6" s="69"/>
      <c r="F6" s="69">
        <v>54</v>
      </c>
      <c r="G6" s="69"/>
      <c r="H6" s="133">
        <f t="shared" si="0"/>
        <v>54</v>
      </c>
    </row>
    <row r="7" spans="1:8" x14ac:dyDescent="0.3">
      <c r="A7" s="124">
        <v>4</v>
      </c>
      <c r="B7" s="64" t="s">
        <v>152</v>
      </c>
      <c r="C7" s="69"/>
      <c r="D7" s="69"/>
      <c r="E7" s="69"/>
      <c r="F7" s="69">
        <v>52</v>
      </c>
      <c r="G7" s="69"/>
      <c r="H7" s="133">
        <f t="shared" si="0"/>
        <v>52</v>
      </c>
    </row>
    <row r="8" spans="1:8" x14ac:dyDescent="0.3">
      <c r="A8" s="131">
        <v>5</v>
      </c>
      <c r="B8" s="64" t="s">
        <v>155</v>
      </c>
      <c r="C8" s="69"/>
      <c r="D8" s="69"/>
      <c r="E8" s="69"/>
      <c r="F8" s="69">
        <v>46</v>
      </c>
      <c r="G8" s="69">
        <v>3</v>
      </c>
      <c r="H8" s="133">
        <f t="shared" si="0"/>
        <v>49</v>
      </c>
    </row>
    <row r="9" spans="1:8" x14ac:dyDescent="0.3">
      <c r="A9" s="124">
        <v>6</v>
      </c>
      <c r="B9" s="64" t="s">
        <v>157</v>
      </c>
      <c r="C9" s="69"/>
      <c r="D9" s="69"/>
      <c r="E9" s="69"/>
      <c r="F9" s="69">
        <v>44</v>
      </c>
      <c r="G9" s="69"/>
      <c r="H9" s="133">
        <f t="shared" si="0"/>
        <v>44</v>
      </c>
    </row>
    <row r="10" spans="1:8" x14ac:dyDescent="0.3">
      <c r="A10" s="131">
        <v>7</v>
      </c>
      <c r="B10" s="64" t="s">
        <v>156</v>
      </c>
      <c r="C10" s="69"/>
      <c r="D10" s="69"/>
      <c r="E10" s="69">
        <v>6</v>
      </c>
      <c r="F10" s="69">
        <v>30</v>
      </c>
      <c r="G10" s="69">
        <v>6</v>
      </c>
      <c r="H10" s="133">
        <f t="shared" si="0"/>
        <v>42</v>
      </c>
    </row>
    <row r="11" spans="1:8" x14ac:dyDescent="0.3">
      <c r="A11" s="124">
        <v>8</v>
      </c>
      <c r="B11" s="64" t="s">
        <v>160</v>
      </c>
      <c r="C11" s="69"/>
      <c r="D11" s="69"/>
      <c r="E11" s="69"/>
      <c r="F11" s="69">
        <v>40</v>
      </c>
      <c r="G11" s="69"/>
      <c r="H11" s="133">
        <f t="shared" si="0"/>
        <v>40</v>
      </c>
    </row>
    <row r="12" spans="1:8" x14ac:dyDescent="0.3">
      <c r="A12" s="131">
        <v>9</v>
      </c>
      <c r="B12" s="64" t="s">
        <v>154</v>
      </c>
      <c r="C12" s="69"/>
      <c r="D12" s="69"/>
      <c r="E12" s="69"/>
      <c r="F12" s="69">
        <v>38</v>
      </c>
      <c r="G12" s="69"/>
      <c r="H12" s="133">
        <f t="shared" si="0"/>
        <v>38</v>
      </c>
    </row>
    <row r="13" spans="1:8" x14ac:dyDescent="0.3">
      <c r="A13" s="124">
        <v>10</v>
      </c>
      <c r="B13" s="64" t="s">
        <v>153</v>
      </c>
      <c r="C13" s="69"/>
      <c r="D13" s="69"/>
      <c r="E13" s="69"/>
      <c r="F13" s="69">
        <v>36</v>
      </c>
      <c r="G13" s="69"/>
      <c r="H13" s="133">
        <f t="shared" si="0"/>
        <v>36</v>
      </c>
    </row>
    <row r="14" spans="1:8" x14ac:dyDescent="0.3">
      <c r="A14" s="131">
        <v>11</v>
      </c>
      <c r="B14" s="64" t="s">
        <v>159</v>
      </c>
      <c r="C14" s="69"/>
      <c r="D14" s="69"/>
      <c r="E14" s="69"/>
      <c r="F14" s="69">
        <v>36</v>
      </c>
      <c r="G14" s="69"/>
      <c r="H14" s="133">
        <f t="shared" si="0"/>
        <v>36</v>
      </c>
    </row>
    <row r="15" spans="1:8" x14ac:dyDescent="0.3">
      <c r="A15" s="124">
        <v>12</v>
      </c>
      <c r="B15" s="64" t="s">
        <v>290</v>
      </c>
      <c r="C15" s="69"/>
      <c r="D15" s="69">
        <v>20</v>
      </c>
      <c r="E15" s="69"/>
      <c r="F15" s="69"/>
      <c r="G15" s="69"/>
      <c r="H15" s="133">
        <f t="shared" si="0"/>
        <v>20</v>
      </c>
    </row>
    <row r="16" spans="1:8" x14ac:dyDescent="0.3">
      <c r="A16" s="131">
        <v>13</v>
      </c>
      <c r="B16" s="64" t="s">
        <v>158</v>
      </c>
      <c r="C16" s="69"/>
      <c r="D16" s="69"/>
      <c r="E16" s="69"/>
      <c r="F16" s="69">
        <v>10</v>
      </c>
      <c r="G16" s="69"/>
      <c r="H16" s="133">
        <f t="shared" si="0"/>
        <v>10</v>
      </c>
    </row>
    <row r="17" spans="1:23" x14ac:dyDescent="0.3">
      <c r="A17" s="124">
        <v>14</v>
      </c>
      <c r="B17" s="64" t="s">
        <v>211</v>
      </c>
      <c r="C17" s="69"/>
      <c r="D17" s="69">
        <v>10</v>
      </c>
      <c r="E17" s="69"/>
      <c r="F17" s="69"/>
      <c r="G17" s="69"/>
      <c r="H17" s="133">
        <f t="shared" si="0"/>
        <v>10</v>
      </c>
    </row>
    <row r="18" spans="1:23" x14ac:dyDescent="0.3">
      <c r="A18" s="131">
        <v>15</v>
      </c>
      <c r="B18" s="64" t="s">
        <v>218</v>
      </c>
      <c r="C18" s="69">
        <v>6</v>
      </c>
      <c r="D18" s="69"/>
      <c r="E18" s="69">
        <v>1</v>
      </c>
      <c r="F18" s="69"/>
      <c r="G18" s="69"/>
      <c r="H18" s="133">
        <f t="shared" si="0"/>
        <v>7</v>
      </c>
    </row>
    <row r="19" spans="1:23" ht="15" thickBot="1" x14ac:dyDescent="0.35">
      <c r="A19" s="126">
        <v>16</v>
      </c>
      <c r="B19" s="127" t="s">
        <v>168</v>
      </c>
      <c r="C19" s="128"/>
      <c r="D19" s="128"/>
      <c r="E19" s="128">
        <v>3</v>
      </c>
      <c r="F19" s="128"/>
      <c r="G19" s="128"/>
      <c r="H19" s="195">
        <f t="shared" si="0"/>
        <v>3</v>
      </c>
    </row>
    <row r="20" spans="1:23" ht="15" thickBot="1" x14ac:dyDescent="0.35">
      <c r="P20" s="57" t="s">
        <v>45</v>
      </c>
      <c r="Q20" s="262" t="s">
        <v>46</v>
      </c>
      <c r="R20" s="262"/>
      <c r="S20" s="262"/>
      <c r="T20" s="262"/>
      <c r="U20" s="262"/>
      <c r="V20" s="262" t="s">
        <v>74</v>
      </c>
      <c r="W20" s="263"/>
    </row>
    <row r="21" spans="1:23" x14ac:dyDescent="0.3">
      <c r="P21" s="59">
        <v>1</v>
      </c>
      <c r="Q21" s="325" t="s">
        <v>47</v>
      </c>
      <c r="R21" s="326"/>
      <c r="S21" s="326"/>
      <c r="T21" s="326"/>
      <c r="U21" s="327"/>
      <c r="V21" s="351" t="s">
        <v>58</v>
      </c>
      <c r="W21" s="352"/>
    </row>
    <row r="22" spans="1:23" x14ac:dyDescent="0.3">
      <c r="P22" s="84">
        <v>2</v>
      </c>
      <c r="Q22" s="259" t="s">
        <v>48</v>
      </c>
      <c r="R22" s="260"/>
      <c r="S22" s="260"/>
      <c r="T22" s="260"/>
      <c r="U22" s="261"/>
      <c r="V22" s="255" t="s">
        <v>65</v>
      </c>
      <c r="W22" s="256"/>
    </row>
    <row r="23" spans="1:23" x14ac:dyDescent="0.3">
      <c r="P23" s="59">
        <v>3</v>
      </c>
      <c r="Q23" s="277" t="s">
        <v>175</v>
      </c>
      <c r="R23" s="278"/>
      <c r="S23" s="278"/>
      <c r="T23" s="278"/>
      <c r="U23" s="279"/>
      <c r="V23" s="277" t="s">
        <v>176</v>
      </c>
      <c r="W23" s="310"/>
    </row>
    <row r="24" spans="1:23" x14ac:dyDescent="0.3">
      <c r="P24" s="60">
        <v>4</v>
      </c>
      <c r="Q24" s="277" t="s">
        <v>49</v>
      </c>
      <c r="R24" s="278"/>
      <c r="S24" s="278"/>
      <c r="T24" s="278"/>
      <c r="U24" s="279"/>
      <c r="V24" s="269" t="s">
        <v>66</v>
      </c>
      <c r="W24" s="270"/>
    </row>
    <row r="25" spans="1:23" x14ac:dyDescent="0.3">
      <c r="P25" s="59">
        <v>5</v>
      </c>
      <c r="Q25" s="277" t="s">
        <v>69</v>
      </c>
      <c r="R25" s="278"/>
      <c r="S25" s="278"/>
      <c r="T25" s="278"/>
      <c r="U25" s="279"/>
      <c r="V25" s="269" t="s">
        <v>59</v>
      </c>
      <c r="W25" s="270"/>
    </row>
    <row r="26" spans="1:23" x14ac:dyDescent="0.3">
      <c r="P26" s="84">
        <v>6</v>
      </c>
      <c r="Q26" s="259" t="s">
        <v>70</v>
      </c>
      <c r="R26" s="260"/>
      <c r="S26" s="260"/>
      <c r="T26" s="260"/>
      <c r="U26" s="261"/>
      <c r="V26" s="255" t="s">
        <v>67</v>
      </c>
      <c r="W26" s="256"/>
    </row>
    <row r="27" spans="1:23" x14ac:dyDescent="0.3">
      <c r="P27" s="59">
        <v>7</v>
      </c>
      <c r="Q27" s="277" t="s">
        <v>50</v>
      </c>
      <c r="R27" s="278"/>
      <c r="S27" s="278"/>
      <c r="T27" s="278"/>
      <c r="U27" s="279"/>
      <c r="V27" s="269" t="s">
        <v>60</v>
      </c>
      <c r="W27" s="270"/>
    </row>
    <row r="28" spans="1:23" x14ac:dyDescent="0.3">
      <c r="P28" s="60">
        <v>8</v>
      </c>
      <c r="Q28" s="277" t="s">
        <v>51</v>
      </c>
      <c r="R28" s="278"/>
      <c r="S28" s="278"/>
      <c r="T28" s="278"/>
      <c r="U28" s="279"/>
      <c r="V28" s="269" t="s">
        <v>64</v>
      </c>
      <c r="W28" s="270"/>
    </row>
    <row r="29" spans="1:23" x14ac:dyDescent="0.3">
      <c r="P29" s="59">
        <v>9</v>
      </c>
      <c r="Q29" s="277" t="s">
        <v>52</v>
      </c>
      <c r="R29" s="278"/>
      <c r="S29" s="278"/>
      <c r="T29" s="278"/>
      <c r="U29" s="279"/>
      <c r="V29" s="269" t="s">
        <v>61</v>
      </c>
      <c r="W29" s="270"/>
    </row>
    <row r="30" spans="1:23" x14ac:dyDescent="0.3">
      <c r="P30" s="84">
        <v>10</v>
      </c>
      <c r="Q30" s="259" t="s">
        <v>62</v>
      </c>
      <c r="R30" s="260"/>
      <c r="S30" s="260"/>
      <c r="T30" s="260"/>
      <c r="U30" s="261"/>
      <c r="V30" s="255" t="s">
        <v>63</v>
      </c>
      <c r="W30" s="256"/>
    </row>
    <row r="31" spans="1:23" x14ac:dyDescent="0.3">
      <c r="P31" s="59">
        <v>11</v>
      </c>
      <c r="Q31" s="277" t="s">
        <v>68</v>
      </c>
      <c r="R31" s="278"/>
      <c r="S31" s="278"/>
      <c r="T31" s="278"/>
      <c r="U31" s="279"/>
      <c r="V31" s="269" t="s">
        <v>71</v>
      </c>
      <c r="W31" s="270"/>
    </row>
    <row r="32" spans="1:23" x14ac:dyDescent="0.3">
      <c r="P32" s="84">
        <v>12</v>
      </c>
      <c r="Q32" s="259" t="s">
        <v>72</v>
      </c>
      <c r="R32" s="260"/>
      <c r="S32" s="260"/>
      <c r="T32" s="260"/>
      <c r="U32" s="261"/>
      <c r="V32" s="255" t="s">
        <v>73</v>
      </c>
      <c r="W32" s="256"/>
    </row>
    <row r="33" spans="16:23" x14ac:dyDescent="0.3">
      <c r="P33" s="59">
        <v>13</v>
      </c>
      <c r="Q33" s="277" t="s">
        <v>53</v>
      </c>
      <c r="R33" s="278"/>
      <c r="S33" s="278"/>
      <c r="T33" s="278"/>
      <c r="U33" s="279"/>
      <c r="V33" s="269" t="s">
        <v>75</v>
      </c>
      <c r="W33" s="270"/>
    </row>
    <row r="34" spans="16:23" x14ac:dyDescent="0.3">
      <c r="P34" s="60">
        <v>14</v>
      </c>
      <c r="Q34" s="277" t="s">
        <v>77</v>
      </c>
      <c r="R34" s="278"/>
      <c r="S34" s="278"/>
      <c r="T34" s="278"/>
      <c r="U34" s="279"/>
      <c r="V34" s="269" t="s">
        <v>76</v>
      </c>
      <c r="W34" s="270"/>
    </row>
    <row r="35" spans="16:23" x14ac:dyDescent="0.3">
      <c r="P35" s="85">
        <v>15</v>
      </c>
      <c r="Q35" s="259" t="s">
        <v>54</v>
      </c>
      <c r="R35" s="260"/>
      <c r="S35" s="260"/>
      <c r="T35" s="260"/>
      <c r="U35" s="261"/>
      <c r="V35" s="255" t="s">
        <v>78</v>
      </c>
      <c r="W35" s="256"/>
    </row>
    <row r="36" spans="16:23" x14ac:dyDescent="0.3">
      <c r="P36" s="60">
        <v>16</v>
      </c>
      <c r="Q36" s="277" t="s">
        <v>79</v>
      </c>
      <c r="R36" s="278"/>
      <c r="S36" s="278"/>
      <c r="T36" s="278"/>
      <c r="U36" s="279"/>
      <c r="V36" s="269" t="s">
        <v>80</v>
      </c>
      <c r="W36" s="270"/>
    </row>
    <row r="37" spans="16:23" x14ac:dyDescent="0.3">
      <c r="P37" s="59">
        <v>17</v>
      </c>
      <c r="Q37" s="277" t="s">
        <v>55</v>
      </c>
      <c r="R37" s="278"/>
      <c r="S37" s="278"/>
      <c r="T37" s="278"/>
      <c r="U37" s="279"/>
      <c r="V37" s="269" t="s">
        <v>81</v>
      </c>
      <c r="W37" s="270"/>
    </row>
    <row r="38" spans="16:23" x14ac:dyDescent="0.3">
      <c r="P38" s="60">
        <v>18</v>
      </c>
      <c r="Q38" s="277" t="s">
        <v>56</v>
      </c>
      <c r="R38" s="278"/>
      <c r="S38" s="278"/>
      <c r="T38" s="278"/>
      <c r="U38" s="279"/>
      <c r="V38" s="269" t="s">
        <v>82</v>
      </c>
      <c r="W38" s="270"/>
    </row>
    <row r="39" spans="16:23" x14ac:dyDescent="0.3">
      <c r="P39" s="59">
        <v>19</v>
      </c>
      <c r="Q39" s="277" t="s">
        <v>57</v>
      </c>
      <c r="R39" s="278"/>
      <c r="S39" s="278"/>
      <c r="T39" s="278"/>
      <c r="U39" s="279"/>
      <c r="V39" s="269" t="s">
        <v>83</v>
      </c>
      <c r="W39" s="270"/>
    </row>
    <row r="40" spans="16:23" x14ac:dyDescent="0.3">
      <c r="P40" s="60">
        <v>20</v>
      </c>
      <c r="Q40" s="277" t="s">
        <v>84</v>
      </c>
      <c r="R40" s="278"/>
      <c r="S40" s="278"/>
      <c r="T40" s="278"/>
      <c r="U40" s="279"/>
      <c r="V40" s="269" t="s">
        <v>85</v>
      </c>
      <c r="W40" s="270"/>
    </row>
    <row r="41" spans="16:23" ht="15" thickBot="1" x14ac:dyDescent="0.35">
      <c r="P41" s="179">
        <v>21</v>
      </c>
      <c r="Q41" s="330" t="s">
        <v>86</v>
      </c>
      <c r="R41" s="331"/>
      <c r="S41" s="331"/>
      <c r="T41" s="331"/>
      <c r="U41" s="332"/>
      <c r="V41" s="349" t="s">
        <v>87</v>
      </c>
      <c r="W41" s="350"/>
    </row>
  </sheetData>
  <sortState ref="B4:H19">
    <sortCondition descending="1" ref="H4:H19"/>
  </sortState>
  <mergeCells count="45">
    <mergeCell ref="Q40:U40"/>
    <mergeCell ref="V40:W40"/>
    <mergeCell ref="Q41:U41"/>
    <mergeCell ref="V41:W41"/>
    <mergeCell ref="Q37:U37"/>
    <mergeCell ref="V37:W37"/>
    <mergeCell ref="Q38:U38"/>
    <mergeCell ref="V38:W38"/>
    <mergeCell ref="V39:W39"/>
    <mergeCell ref="Q39:U39"/>
    <mergeCell ref="Q34:U34"/>
    <mergeCell ref="V34:W34"/>
    <mergeCell ref="Q35:U35"/>
    <mergeCell ref="V35:W35"/>
    <mergeCell ref="Q36:U36"/>
    <mergeCell ref="V36:W36"/>
    <mergeCell ref="Q31:U31"/>
    <mergeCell ref="V31:W31"/>
    <mergeCell ref="Q32:U32"/>
    <mergeCell ref="V32:W32"/>
    <mergeCell ref="Q33:U33"/>
    <mergeCell ref="V33:W33"/>
    <mergeCell ref="Q28:U28"/>
    <mergeCell ref="V28:W28"/>
    <mergeCell ref="Q29:U29"/>
    <mergeCell ref="V29:W29"/>
    <mergeCell ref="Q30:U30"/>
    <mergeCell ref="V30:W30"/>
    <mergeCell ref="Q25:U25"/>
    <mergeCell ref="V25:W25"/>
    <mergeCell ref="Q26:U26"/>
    <mergeCell ref="V26:W26"/>
    <mergeCell ref="Q27:U27"/>
    <mergeCell ref="V27:W27"/>
    <mergeCell ref="Q22:U22"/>
    <mergeCell ref="V22:W22"/>
    <mergeCell ref="Q23:U23"/>
    <mergeCell ref="V23:W23"/>
    <mergeCell ref="Q24:U24"/>
    <mergeCell ref="V24:W24"/>
    <mergeCell ref="A1:H2"/>
    <mergeCell ref="Q20:U20"/>
    <mergeCell ref="V20:W20"/>
    <mergeCell ref="Q21:U21"/>
    <mergeCell ref="V21:W21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workbookViewId="0">
      <selection activeCell="H13" sqref="H13"/>
    </sheetView>
  </sheetViews>
  <sheetFormatPr defaultRowHeight="14.4" x14ac:dyDescent="0.3"/>
  <cols>
    <col min="2" max="2" width="20.33203125" customWidth="1"/>
    <col min="3" max="3" width="9.88671875" customWidth="1"/>
  </cols>
  <sheetData>
    <row r="1" spans="1:5" x14ac:dyDescent="0.3">
      <c r="A1" s="280" t="s">
        <v>174</v>
      </c>
      <c r="B1" s="281"/>
      <c r="C1" s="281"/>
      <c r="D1" s="281"/>
      <c r="E1" s="282"/>
    </row>
    <row r="2" spans="1:5" ht="15" thickBot="1" x14ac:dyDescent="0.35">
      <c r="A2" s="283"/>
      <c r="B2" s="284"/>
      <c r="C2" s="284"/>
      <c r="D2" s="284"/>
      <c r="E2" s="286"/>
    </row>
    <row r="3" spans="1:5" ht="15" thickBot="1" x14ac:dyDescent="0.35">
      <c r="A3" s="72" t="s">
        <v>89</v>
      </c>
      <c r="B3" s="73" t="s">
        <v>90</v>
      </c>
      <c r="C3" s="74">
        <v>2</v>
      </c>
      <c r="D3" s="75">
        <v>12</v>
      </c>
      <c r="E3" s="76" t="s">
        <v>91</v>
      </c>
    </row>
    <row r="4" spans="1:5" x14ac:dyDescent="0.3">
      <c r="A4" s="131">
        <v>1</v>
      </c>
      <c r="B4" s="97" t="s">
        <v>162</v>
      </c>
      <c r="C4" s="87">
        <v>30</v>
      </c>
      <c r="D4" s="65">
        <v>66</v>
      </c>
      <c r="E4" s="132">
        <f t="shared" ref="E4:E16" si="0">SUM(C4:D4)</f>
        <v>96</v>
      </c>
    </row>
    <row r="5" spans="1:5" x14ac:dyDescent="0.3">
      <c r="A5" s="124">
        <v>2</v>
      </c>
      <c r="B5" s="64" t="s">
        <v>163</v>
      </c>
      <c r="C5" s="69">
        <v>18</v>
      </c>
      <c r="D5" s="66">
        <v>76</v>
      </c>
      <c r="E5" s="125">
        <f t="shared" si="0"/>
        <v>94</v>
      </c>
    </row>
    <row r="6" spans="1:5" x14ac:dyDescent="0.3">
      <c r="A6" s="124">
        <v>3</v>
      </c>
      <c r="B6" s="64" t="s">
        <v>164</v>
      </c>
      <c r="C6" s="69"/>
      <c r="D6" s="66">
        <v>78</v>
      </c>
      <c r="E6" s="125">
        <f t="shared" si="0"/>
        <v>78</v>
      </c>
    </row>
    <row r="7" spans="1:5" x14ac:dyDescent="0.3">
      <c r="A7" s="124">
        <v>4</v>
      </c>
      <c r="B7" s="64" t="s">
        <v>170</v>
      </c>
      <c r="C7" s="69">
        <v>54</v>
      </c>
      <c r="D7" s="66">
        <v>24</v>
      </c>
      <c r="E7" s="125">
        <f t="shared" si="0"/>
        <v>78</v>
      </c>
    </row>
    <row r="8" spans="1:5" x14ac:dyDescent="0.3">
      <c r="A8" s="124">
        <v>5</v>
      </c>
      <c r="B8" s="64" t="s">
        <v>171</v>
      </c>
      <c r="C8" s="69"/>
      <c r="D8" s="66">
        <v>66</v>
      </c>
      <c r="E8" s="125">
        <f t="shared" si="0"/>
        <v>66</v>
      </c>
    </row>
    <row r="9" spans="1:5" x14ac:dyDescent="0.3">
      <c r="A9" s="124">
        <v>6</v>
      </c>
      <c r="B9" s="64" t="s">
        <v>167</v>
      </c>
      <c r="C9" s="69"/>
      <c r="D9" s="66">
        <v>52</v>
      </c>
      <c r="E9" s="125">
        <f t="shared" si="0"/>
        <v>52</v>
      </c>
    </row>
    <row r="10" spans="1:5" x14ac:dyDescent="0.3">
      <c r="A10" s="124">
        <v>7</v>
      </c>
      <c r="B10" s="64" t="s">
        <v>165</v>
      </c>
      <c r="C10" s="69"/>
      <c r="D10" s="66">
        <v>44</v>
      </c>
      <c r="E10" s="125">
        <f t="shared" si="0"/>
        <v>44</v>
      </c>
    </row>
    <row r="11" spans="1:5" x14ac:dyDescent="0.3">
      <c r="A11" s="124">
        <v>8</v>
      </c>
      <c r="B11" s="64" t="s">
        <v>166</v>
      </c>
      <c r="C11" s="69"/>
      <c r="D11" s="66">
        <v>44</v>
      </c>
      <c r="E11" s="125">
        <f t="shared" si="0"/>
        <v>44</v>
      </c>
    </row>
    <row r="12" spans="1:5" x14ac:dyDescent="0.3">
      <c r="A12" s="124">
        <v>9</v>
      </c>
      <c r="B12" s="64" t="s">
        <v>168</v>
      </c>
      <c r="C12" s="69"/>
      <c r="D12" s="66">
        <v>42</v>
      </c>
      <c r="E12" s="125">
        <f t="shared" si="0"/>
        <v>42</v>
      </c>
    </row>
    <row r="13" spans="1:5" x14ac:dyDescent="0.3">
      <c r="A13" s="124">
        <v>10</v>
      </c>
      <c r="B13" s="64" t="s">
        <v>172</v>
      </c>
      <c r="C13" s="69"/>
      <c r="D13" s="66">
        <v>34</v>
      </c>
      <c r="E13" s="125">
        <f t="shared" si="0"/>
        <v>34</v>
      </c>
    </row>
    <row r="14" spans="1:5" x14ac:dyDescent="0.3">
      <c r="A14" s="124">
        <v>11</v>
      </c>
      <c r="B14" s="64" t="s">
        <v>220</v>
      </c>
      <c r="C14" s="69">
        <v>32</v>
      </c>
      <c r="D14" s="69"/>
      <c r="E14" s="125">
        <f t="shared" si="0"/>
        <v>32</v>
      </c>
    </row>
    <row r="15" spans="1:5" x14ac:dyDescent="0.3">
      <c r="A15" s="124">
        <v>12</v>
      </c>
      <c r="B15" s="64" t="s">
        <v>169</v>
      </c>
      <c r="C15" s="69"/>
      <c r="D15" s="66">
        <v>30</v>
      </c>
      <c r="E15" s="125">
        <f t="shared" si="0"/>
        <v>30</v>
      </c>
    </row>
    <row r="16" spans="1:5" ht="15" thickBot="1" x14ac:dyDescent="0.35">
      <c r="A16" s="126">
        <v>13</v>
      </c>
      <c r="B16" s="127" t="s">
        <v>173</v>
      </c>
      <c r="C16" s="128">
        <v>6</v>
      </c>
      <c r="D16" s="129">
        <v>4</v>
      </c>
      <c r="E16" s="130">
        <f t="shared" si="0"/>
        <v>10</v>
      </c>
    </row>
    <row r="19" spans="13:20" ht="15" thickBot="1" x14ac:dyDescent="0.35"/>
    <row r="20" spans="13:20" ht="15" thickBot="1" x14ac:dyDescent="0.35">
      <c r="M20" s="57" t="s">
        <v>45</v>
      </c>
      <c r="N20" s="262" t="s">
        <v>46</v>
      </c>
      <c r="O20" s="262"/>
      <c r="P20" s="262"/>
      <c r="Q20" s="262"/>
      <c r="R20" s="262"/>
      <c r="S20" s="262" t="s">
        <v>74</v>
      </c>
      <c r="T20" s="263"/>
    </row>
    <row r="21" spans="13:20" x14ac:dyDescent="0.3">
      <c r="M21" s="59">
        <v>1</v>
      </c>
      <c r="N21" s="325" t="s">
        <v>47</v>
      </c>
      <c r="O21" s="326"/>
      <c r="P21" s="326"/>
      <c r="Q21" s="326"/>
      <c r="R21" s="327"/>
      <c r="S21" s="351" t="s">
        <v>58</v>
      </c>
      <c r="T21" s="352"/>
    </row>
    <row r="22" spans="13:20" x14ac:dyDescent="0.3">
      <c r="M22" s="84">
        <v>2</v>
      </c>
      <c r="N22" s="259" t="s">
        <v>48</v>
      </c>
      <c r="O22" s="260"/>
      <c r="P22" s="260"/>
      <c r="Q22" s="260"/>
      <c r="R22" s="261"/>
      <c r="S22" s="255" t="s">
        <v>65</v>
      </c>
      <c r="T22" s="256"/>
    </row>
    <row r="23" spans="13:20" x14ac:dyDescent="0.3">
      <c r="M23" s="59">
        <v>3</v>
      </c>
      <c r="N23" s="277" t="s">
        <v>175</v>
      </c>
      <c r="O23" s="278"/>
      <c r="P23" s="278"/>
      <c r="Q23" s="278"/>
      <c r="R23" s="279"/>
      <c r="S23" s="277" t="s">
        <v>176</v>
      </c>
      <c r="T23" s="310"/>
    </row>
    <row r="24" spans="13:20" x14ac:dyDescent="0.3">
      <c r="M24" s="60">
        <v>4</v>
      </c>
      <c r="N24" s="277" t="s">
        <v>49</v>
      </c>
      <c r="O24" s="278"/>
      <c r="P24" s="278"/>
      <c r="Q24" s="278"/>
      <c r="R24" s="279"/>
      <c r="S24" s="269" t="s">
        <v>66</v>
      </c>
      <c r="T24" s="270"/>
    </row>
    <row r="25" spans="13:20" x14ac:dyDescent="0.3">
      <c r="M25" s="59">
        <v>5</v>
      </c>
      <c r="N25" s="277" t="s">
        <v>69</v>
      </c>
      <c r="O25" s="278"/>
      <c r="P25" s="278"/>
      <c r="Q25" s="278"/>
      <c r="R25" s="279"/>
      <c r="S25" s="269" t="s">
        <v>59</v>
      </c>
      <c r="T25" s="270"/>
    </row>
    <row r="26" spans="13:20" x14ac:dyDescent="0.3">
      <c r="M26" s="60">
        <v>6</v>
      </c>
      <c r="N26" s="277" t="s">
        <v>70</v>
      </c>
      <c r="O26" s="278"/>
      <c r="P26" s="278"/>
      <c r="Q26" s="278"/>
      <c r="R26" s="279"/>
      <c r="S26" s="269" t="s">
        <v>67</v>
      </c>
      <c r="T26" s="270"/>
    </row>
    <row r="27" spans="13:20" x14ac:dyDescent="0.3">
      <c r="M27" s="59">
        <v>7</v>
      </c>
      <c r="N27" s="277" t="s">
        <v>50</v>
      </c>
      <c r="O27" s="278"/>
      <c r="P27" s="278"/>
      <c r="Q27" s="278"/>
      <c r="R27" s="279"/>
      <c r="S27" s="269" t="s">
        <v>60</v>
      </c>
      <c r="T27" s="270"/>
    </row>
    <row r="28" spans="13:20" x14ac:dyDescent="0.3">
      <c r="M28" s="60">
        <v>8</v>
      </c>
      <c r="N28" s="277" t="s">
        <v>51</v>
      </c>
      <c r="O28" s="278"/>
      <c r="P28" s="278"/>
      <c r="Q28" s="278"/>
      <c r="R28" s="279"/>
      <c r="S28" s="269" t="s">
        <v>64</v>
      </c>
      <c r="T28" s="270"/>
    </row>
    <row r="29" spans="13:20" x14ac:dyDescent="0.3">
      <c r="M29" s="59">
        <v>9</v>
      </c>
      <c r="N29" s="277" t="s">
        <v>52</v>
      </c>
      <c r="O29" s="278"/>
      <c r="P29" s="278"/>
      <c r="Q29" s="278"/>
      <c r="R29" s="279"/>
      <c r="S29" s="269" t="s">
        <v>61</v>
      </c>
      <c r="T29" s="270"/>
    </row>
    <row r="30" spans="13:20" x14ac:dyDescent="0.3">
      <c r="M30" s="60">
        <v>10</v>
      </c>
      <c r="N30" s="277" t="s">
        <v>62</v>
      </c>
      <c r="O30" s="278"/>
      <c r="P30" s="278"/>
      <c r="Q30" s="278"/>
      <c r="R30" s="279"/>
      <c r="S30" s="269" t="s">
        <v>63</v>
      </c>
      <c r="T30" s="270"/>
    </row>
    <row r="31" spans="13:20" x14ac:dyDescent="0.3">
      <c r="M31" s="59">
        <v>11</v>
      </c>
      <c r="N31" s="277" t="s">
        <v>68</v>
      </c>
      <c r="O31" s="278"/>
      <c r="P31" s="278"/>
      <c r="Q31" s="278"/>
      <c r="R31" s="279"/>
      <c r="S31" s="269" t="s">
        <v>71</v>
      </c>
      <c r="T31" s="270"/>
    </row>
    <row r="32" spans="13:20" x14ac:dyDescent="0.3">
      <c r="M32" s="84">
        <v>12</v>
      </c>
      <c r="N32" s="259" t="s">
        <v>72</v>
      </c>
      <c r="O32" s="260"/>
      <c r="P32" s="260"/>
      <c r="Q32" s="260"/>
      <c r="R32" s="261"/>
      <c r="S32" s="255" t="s">
        <v>73</v>
      </c>
      <c r="T32" s="256"/>
    </row>
    <row r="33" spans="13:20" x14ac:dyDescent="0.3">
      <c r="M33" s="59">
        <v>13</v>
      </c>
      <c r="N33" s="277" t="s">
        <v>53</v>
      </c>
      <c r="O33" s="278"/>
      <c r="P33" s="278"/>
      <c r="Q33" s="278"/>
      <c r="R33" s="279"/>
      <c r="S33" s="269" t="s">
        <v>75</v>
      </c>
      <c r="T33" s="270"/>
    </row>
    <row r="34" spans="13:20" x14ac:dyDescent="0.3">
      <c r="M34" s="60">
        <v>14</v>
      </c>
      <c r="N34" s="277" t="s">
        <v>77</v>
      </c>
      <c r="O34" s="278"/>
      <c r="P34" s="278"/>
      <c r="Q34" s="278"/>
      <c r="R34" s="279"/>
      <c r="S34" s="269" t="s">
        <v>76</v>
      </c>
      <c r="T34" s="270"/>
    </row>
    <row r="35" spans="13:20" x14ac:dyDescent="0.3">
      <c r="M35" s="59">
        <v>15</v>
      </c>
      <c r="N35" s="277" t="s">
        <v>54</v>
      </c>
      <c r="O35" s="278"/>
      <c r="P35" s="278"/>
      <c r="Q35" s="278"/>
      <c r="R35" s="279"/>
      <c r="S35" s="269" t="s">
        <v>78</v>
      </c>
      <c r="T35" s="270"/>
    </row>
    <row r="36" spans="13:20" x14ac:dyDescent="0.3">
      <c r="M36" s="60">
        <v>16</v>
      </c>
      <c r="N36" s="277" t="s">
        <v>79</v>
      </c>
      <c r="O36" s="278"/>
      <c r="P36" s="278"/>
      <c r="Q36" s="278"/>
      <c r="R36" s="279"/>
      <c r="S36" s="269" t="s">
        <v>80</v>
      </c>
      <c r="T36" s="270"/>
    </row>
    <row r="37" spans="13:20" x14ac:dyDescent="0.3">
      <c r="M37" s="59">
        <v>17</v>
      </c>
      <c r="N37" s="277" t="s">
        <v>55</v>
      </c>
      <c r="O37" s="278"/>
      <c r="P37" s="278"/>
      <c r="Q37" s="278"/>
      <c r="R37" s="279"/>
      <c r="S37" s="269" t="s">
        <v>81</v>
      </c>
      <c r="T37" s="270"/>
    </row>
    <row r="38" spans="13:20" x14ac:dyDescent="0.3">
      <c r="M38" s="60">
        <v>18</v>
      </c>
      <c r="N38" s="277" t="s">
        <v>56</v>
      </c>
      <c r="O38" s="278"/>
      <c r="P38" s="278"/>
      <c r="Q38" s="278"/>
      <c r="R38" s="279"/>
      <c r="S38" s="269" t="s">
        <v>82</v>
      </c>
      <c r="T38" s="270"/>
    </row>
    <row r="39" spans="13:20" x14ac:dyDescent="0.3">
      <c r="M39" s="59">
        <v>19</v>
      </c>
      <c r="N39" s="277" t="s">
        <v>57</v>
      </c>
      <c r="O39" s="278"/>
      <c r="P39" s="278"/>
      <c r="Q39" s="278"/>
      <c r="R39" s="279"/>
      <c r="S39" s="269" t="s">
        <v>83</v>
      </c>
      <c r="T39" s="270"/>
    </row>
    <row r="40" spans="13:20" x14ac:dyDescent="0.3">
      <c r="M40" s="60">
        <v>20</v>
      </c>
      <c r="N40" s="277" t="s">
        <v>84</v>
      </c>
      <c r="O40" s="278"/>
      <c r="P40" s="278"/>
      <c r="Q40" s="278"/>
      <c r="R40" s="279"/>
      <c r="S40" s="269" t="s">
        <v>85</v>
      </c>
      <c r="T40" s="270"/>
    </row>
    <row r="41" spans="13:20" ht="15" thickBot="1" x14ac:dyDescent="0.35">
      <c r="M41" s="179">
        <v>21</v>
      </c>
      <c r="N41" s="330" t="s">
        <v>86</v>
      </c>
      <c r="O41" s="331"/>
      <c r="P41" s="331"/>
      <c r="Q41" s="331"/>
      <c r="R41" s="332"/>
      <c r="S41" s="349" t="s">
        <v>87</v>
      </c>
      <c r="T41" s="350"/>
    </row>
  </sheetData>
  <sortState ref="B4:E16">
    <sortCondition descending="1" ref="E4:E16"/>
  </sortState>
  <mergeCells count="45">
    <mergeCell ref="N40:R40"/>
    <mergeCell ref="S40:T40"/>
    <mergeCell ref="N41:R41"/>
    <mergeCell ref="S41:T41"/>
    <mergeCell ref="N37:R37"/>
    <mergeCell ref="S37:T37"/>
    <mergeCell ref="N38:R38"/>
    <mergeCell ref="S38:T38"/>
    <mergeCell ref="S39:T39"/>
    <mergeCell ref="N39:R39"/>
    <mergeCell ref="N34:R34"/>
    <mergeCell ref="S34:T34"/>
    <mergeCell ref="N35:R35"/>
    <mergeCell ref="S35:T35"/>
    <mergeCell ref="N36:R36"/>
    <mergeCell ref="S36:T36"/>
    <mergeCell ref="N31:R31"/>
    <mergeCell ref="S31:T31"/>
    <mergeCell ref="N32:R32"/>
    <mergeCell ref="S32:T32"/>
    <mergeCell ref="N33:R33"/>
    <mergeCell ref="S33:T33"/>
    <mergeCell ref="N28:R28"/>
    <mergeCell ref="S28:T28"/>
    <mergeCell ref="N29:R29"/>
    <mergeCell ref="S29:T29"/>
    <mergeCell ref="N30:R30"/>
    <mergeCell ref="S30:T30"/>
    <mergeCell ref="N25:R25"/>
    <mergeCell ref="S25:T25"/>
    <mergeCell ref="N26:R26"/>
    <mergeCell ref="S26:T26"/>
    <mergeCell ref="N27:R27"/>
    <mergeCell ref="S27:T27"/>
    <mergeCell ref="N22:R22"/>
    <mergeCell ref="S22:T22"/>
    <mergeCell ref="N23:R23"/>
    <mergeCell ref="S23:T23"/>
    <mergeCell ref="N24:R24"/>
    <mergeCell ref="S24:T24"/>
    <mergeCell ref="A1:E2"/>
    <mergeCell ref="N20:R20"/>
    <mergeCell ref="S20:T20"/>
    <mergeCell ref="N21:R21"/>
    <mergeCell ref="S21:T2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Koeficientai</vt:lpstr>
      <vt:lpstr>Taškų lentelė</vt:lpstr>
      <vt:lpstr>2021 Saugusieji</vt:lpstr>
      <vt:lpstr>Suaugusieji (Cempas)</vt:lpstr>
      <vt:lpstr>Poniai</vt:lpstr>
      <vt:lpstr>Vaikai</vt:lpstr>
      <vt:lpstr>Jaunimas</vt:lpstr>
      <vt:lpstr>Jaunučiai</vt:lpstr>
      <vt:lpstr>Jauniai</vt:lpstr>
      <vt:lpstr>Mėgėjai I gr.</vt:lpstr>
      <vt:lpstr>Mėgėjai II gr.</vt:lpstr>
      <vt:lpstr>Mėgėjai III gr.</vt:lpstr>
      <vt:lpstr>Poniai!Print_Area</vt:lpstr>
      <vt:lpstr>'Taškų lentelė'!start_9419802</vt:lpstr>
      <vt:lpstr>'Suaugusieji (Cempas)'!start_9435935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2021-11-30T12:34:23Z</cp:lastPrinted>
  <dcterms:created xsi:type="dcterms:W3CDTF">2021-10-07T12:24:10Z</dcterms:created>
  <dcterms:modified xsi:type="dcterms:W3CDTF">2021-12-29T16:06:17Z</dcterms:modified>
</cp:coreProperties>
</file>